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L:\BEH\PRIVATE WATER SYSTEMS\PWS Digital Forms\"/>
    </mc:Choice>
  </mc:AlternateContent>
  <xr:revisionPtr revIDLastSave="0" documentId="8_{3B24CF80-2D24-44B0-9F9D-1BC72A4BA187}" xr6:coauthVersionLast="45" xr6:coauthVersionMax="45" xr10:uidLastSave="{00000000-0000-0000-0000-000000000000}"/>
  <bookViews>
    <workbookView xWindow="-120" yWindow="-120" windowWidth="19440" windowHeight="15000" xr2:uid="{00000000-000D-0000-FFFF-FFFF00000000}"/>
  </bookViews>
  <sheets>
    <sheet name="Grout Calculation" sheetId="1" r:id="rId1"/>
    <sheet name="ANNULAR SPACE" sheetId="4" r:id="rId2"/>
  </sheets>
  <definedNames>
    <definedName name="_xlnm.Print_Titles" localSheetId="1">'ANNULAR SPACE'!$1:$5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5" i="1" l="1"/>
  <c r="A56" i="1"/>
  <c r="S37" i="1" l="1"/>
  <c r="S39" i="1" l="1"/>
  <c r="S38" i="1"/>
  <c r="I38" i="1"/>
  <c r="I39" i="1"/>
  <c r="I37" i="1"/>
  <c r="Q31" i="1"/>
  <c r="M62" i="1"/>
  <c r="L53" i="1"/>
  <c r="P44" i="1"/>
  <c r="N48" i="1"/>
  <c r="I48" i="1"/>
  <c r="D48" i="1"/>
  <c r="J48" i="1" s="1"/>
  <c r="O48" i="1" s="1"/>
  <c r="S43" i="1"/>
  <c r="K43" i="1"/>
  <c r="J61" i="4"/>
  <c r="L61" i="4" s="1"/>
  <c r="J65" i="4"/>
  <c r="L65" i="4" s="1"/>
  <c r="J67" i="4"/>
  <c r="J69" i="4"/>
  <c r="L69" i="4" s="1"/>
  <c r="J71" i="4"/>
  <c r="L71" i="4" s="1"/>
  <c r="J73" i="4"/>
  <c r="L73" i="4" s="1"/>
  <c r="J75" i="4"/>
  <c r="J77" i="4"/>
  <c r="J79" i="4"/>
  <c r="L79" i="4" s="1"/>
  <c r="J81" i="4"/>
  <c r="L81" i="4" s="1"/>
  <c r="J83" i="4"/>
  <c r="J85" i="4"/>
  <c r="J47" i="4"/>
  <c r="L47" i="4" s="1"/>
  <c r="J49" i="4"/>
  <c r="J51" i="4"/>
  <c r="J53" i="4"/>
  <c r="J55" i="4"/>
  <c r="L55" i="4" s="1"/>
  <c r="J57" i="4"/>
  <c r="L57" i="4" s="1"/>
  <c r="J59" i="4"/>
  <c r="J43" i="4"/>
  <c r="L43" i="4" s="1"/>
  <c r="J33" i="4"/>
  <c r="L33" i="4" s="1"/>
  <c r="J35" i="4"/>
  <c r="J37" i="4"/>
  <c r="J39" i="4"/>
  <c r="J41" i="4"/>
  <c r="L41" i="4" s="1"/>
  <c r="J29" i="4"/>
  <c r="L29" i="4" s="1"/>
  <c r="J15" i="4"/>
  <c r="J17" i="4"/>
  <c r="J19" i="4"/>
  <c r="J21" i="4"/>
  <c r="L21" i="4" s="1"/>
  <c r="J23" i="4"/>
  <c r="J25" i="4"/>
  <c r="J27" i="4"/>
  <c r="J7" i="4"/>
  <c r="L7" i="4" s="1"/>
  <c r="J9" i="4"/>
  <c r="J11" i="4"/>
  <c r="L11" i="4" s="1"/>
  <c r="L85" i="4"/>
  <c r="K85" i="4"/>
  <c r="L83" i="4"/>
  <c r="K83" i="4"/>
  <c r="K81" i="4"/>
  <c r="K79" i="4"/>
  <c r="L77" i="4"/>
  <c r="K77" i="4"/>
  <c r="L75" i="4"/>
  <c r="K75" i="4"/>
  <c r="K73" i="4"/>
  <c r="K71" i="4"/>
  <c r="K69" i="4"/>
  <c r="L67" i="4"/>
  <c r="K67" i="4"/>
  <c r="K65" i="4"/>
  <c r="J63" i="4"/>
  <c r="L63" i="4" s="1"/>
  <c r="K63" i="4"/>
  <c r="L59" i="4"/>
  <c r="K59" i="4"/>
  <c r="K61" i="4"/>
  <c r="K57" i="4"/>
  <c r="K55" i="4"/>
  <c r="L53" i="4"/>
  <c r="K53" i="4"/>
  <c r="L51" i="4"/>
  <c r="K51" i="4"/>
  <c r="L49" i="4"/>
  <c r="K49" i="4"/>
  <c r="K47" i="4"/>
  <c r="J45" i="4"/>
  <c r="L45" i="4" s="1"/>
  <c r="K45" i="4"/>
  <c r="K43" i="4"/>
  <c r="K41" i="4"/>
  <c r="L39" i="4"/>
  <c r="K39" i="4"/>
  <c r="L37" i="4"/>
  <c r="K37" i="4"/>
  <c r="L35" i="4"/>
  <c r="K35" i="4"/>
  <c r="K33" i="4"/>
  <c r="K32" i="4"/>
  <c r="K34" i="4"/>
  <c r="K36" i="4"/>
  <c r="K38" i="4"/>
  <c r="J31" i="4"/>
  <c r="L31" i="4" s="1"/>
  <c r="K31" i="4"/>
  <c r="K29" i="4"/>
  <c r="L27" i="4"/>
  <c r="K27" i="4"/>
  <c r="L25" i="4"/>
  <c r="K25" i="4"/>
  <c r="L23" i="4"/>
  <c r="K23" i="4"/>
  <c r="K21" i="4"/>
  <c r="L19" i="4"/>
  <c r="K19" i="4"/>
  <c r="L17" i="4"/>
  <c r="K17" i="4"/>
  <c r="L15" i="4"/>
  <c r="K15" i="4"/>
  <c r="J13" i="4"/>
  <c r="L13" i="4" s="1"/>
  <c r="K13" i="4"/>
  <c r="K11" i="4"/>
  <c r="L9" i="4"/>
  <c r="K9" i="4"/>
  <c r="K7" i="4"/>
  <c r="Q18" i="1"/>
  <c r="E62" i="1" s="1"/>
  <c r="H31" i="1"/>
  <c r="T10" i="1"/>
  <c r="H28" i="1" s="1"/>
  <c r="T11" i="1"/>
  <c r="M28" i="1" s="1"/>
  <c r="K60" i="4"/>
  <c r="K62" i="4"/>
  <c r="K64" i="4"/>
  <c r="K66" i="4"/>
  <c r="K68" i="4"/>
  <c r="K70" i="4"/>
  <c r="K72" i="4"/>
  <c r="K74" i="4"/>
  <c r="K76" i="4"/>
  <c r="K78" i="4"/>
  <c r="K80" i="4"/>
  <c r="K82" i="4"/>
  <c r="K84" i="4"/>
  <c r="F60" i="4"/>
  <c r="H60" i="4" s="1"/>
  <c r="F62" i="4"/>
  <c r="H62" i="4" s="1"/>
  <c r="F64" i="4"/>
  <c r="H64" i="4" s="1"/>
  <c r="F66" i="4"/>
  <c r="H66" i="4" s="1"/>
  <c r="F68" i="4"/>
  <c r="H68" i="4" s="1"/>
  <c r="F70" i="4"/>
  <c r="H70" i="4"/>
  <c r="F72" i="4"/>
  <c r="H72" i="4" s="1"/>
  <c r="F74" i="4"/>
  <c r="H74" i="4" s="1"/>
  <c r="F76" i="4"/>
  <c r="H76" i="4" s="1"/>
  <c r="F78" i="4"/>
  <c r="H78" i="4"/>
  <c r="F80" i="4"/>
  <c r="H80" i="4" s="1"/>
  <c r="F82" i="4"/>
  <c r="H82" i="4" s="1"/>
  <c r="F84" i="4"/>
  <c r="H84" i="4" s="1"/>
  <c r="G60" i="4"/>
  <c r="G62" i="4"/>
  <c r="G64" i="4"/>
  <c r="G66" i="4"/>
  <c r="G68" i="4"/>
  <c r="G70" i="4"/>
  <c r="G72" i="4"/>
  <c r="G74" i="4"/>
  <c r="G76" i="4"/>
  <c r="G78" i="4"/>
  <c r="G80" i="4"/>
  <c r="G82" i="4"/>
  <c r="G84" i="4"/>
  <c r="D64" i="4"/>
  <c r="J64" i="4" s="1"/>
  <c r="L64" i="4" s="1"/>
  <c r="D66" i="4"/>
  <c r="J66" i="4" s="1"/>
  <c r="L66" i="4" s="1"/>
  <c r="D68" i="4"/>
  <c r="J68" i="4" s="1"/>
  <c r="L68" i="4" s="1"/>
  <c r="D70" i="4"/>
  <c r="J70" i="4" s="1"/>
  <c r="L70" i="4" s="1"/>
  <c r="D72" i="4"/>
  <c r="J72" i="4" s="1"/>
  <c r="L72" i="4" s="1"/>
  <c r="D74" i="4"/>
  <c r="J74" i="4" s="1"/>
  <c r="L74" i="4" s="1"/>
  <c r="D76" i="4"/>
  <c r="J76" i="4" s="1"/>
  <c r="L76" i="4" s="1"/>
  <c r="D78" i="4"/>
  <c r="J78" i="4" s="1"/>
  <c r="L78" i="4" s="1"/>
  <c r="D80" i="4"/>
  <c r="J80" i="4" s="1"/>
  <c r="L80" i="4" s="1"/>
  <c r="D82" i="4"/>
  <c r="J82" i="4" s="1"/>
  <c r="L82" i="4" s="1"/>
  <c r="D84" i="4"/>
  <c r="J84" i="4" s="1"/>
  <c r="L84" i="4" s="1"/>
  <c r="D62" i="4"/>
  <c r="J62" i="4"/>
  <c r="L62" i="4" s="1"/>
  <c r="D60" i="4"/>
  <c r="J60" i="4" s="1"/>
  <c r="L60" i="4" s="1"/>
  <c r="F44" i="4"/>
  <c r="H44" i="4" s="1"/>
  <c r="F46" i="4"/>
  <c r="H46" i="4" s="1"/>
  <c r="F48" i="4"/>
  <c r="H48" i="4" s="1"/>
  <c r="F50" i="4"/>
  <c r="H50" i="4" s="1"/>
  <c r="F52" i="4"/>
  <c r="H52" i="4"/>
  <c r="F54" i="4"/>
  <c r="H54" i="4" s="1"/>
  <c r="F56" i="4"/>
  <c r="H56" i="4" s="1"/>
  <c r="F58" i="4"/>
  <c r="H58" i="4" s="1"/>
  <c r="F30" i="4"/>
  <c r="H30" i="4"/>
  <c r="F32" i="4"/>
  <c r="H32" i="4" s="1"/>
  <c r="F34" i="4"/>
  <c r="H34" i="4" s="1"/>
  <c r="F36" i="4"/>
  <c r="H36" i="4" s="1"/>
  <c r="F38" i="4"/>
  <c r="H38" i="4" s="1"/>
  <c r="F40" i="4"/>
  <c r="H40" i="4" s="1"/>
  <c r="F42" i="4"/>
  <c r="H42" i="4"/>
  <c r="F28" i="4"/>
  <c r="H28" i="4" s="1"/>
  <c r="F8" i="4"/>
  <c r="H8" i="4" s="1"/>
  <c r="F10" i="4"/>
  <c r="H10" i="4" s="1"/>
  <c r="F12" i="4"/>
  <c r="H12" i="4" s="1"/>
  <c r="F14" i="4"/>
  <c r="H14" i="4" s="1"/>
  <c r="F16" i="4"/>
  <c r="H16" i="4"/>
  <c r="F18" i="4"/>
  <c r="H18" i="4" s="1"/>
  <c r="F20" i="4"/>
  <c r="H20" i="4" s="1"/>
  <c r="F22" i="4"/>
  <c r="H22" i="4" s="1"/>
  <c r="F24" i="4"/>
  <c r="H24" i="4"/>
  <c r="F26" i="4"/>
  <c r="H26" i="4" s="1"/>
  <c r="F6" i="4"/>
  <c r="H6" i="4" s="1"/>
  <c r="C86" i="4"/>
  <c r="F86" i="4" s="1"/>
  <c r="K86" i="4"/>
  <c r="G86" i="4"/>
  <c r="D16" i="4"/>
  <c r="J16" i="4" s="1"/>
  <c r="L16" i="4" s="1"/>
  <c r="D34" i="4"/>
  <c r="J34" i="4"/>
  <c r="L34" i="4" s="1"/>
  <c r="D28" i="4"/>
  <c r="J28" i="4" s="1"/>
  <c r="L28" i="4" s="1"/>
  <c r="G34" i="4"/>
  <c r="K28" i="4"/>
  <c r="G28" i="4"/>
  <c r="K16" i="4"/>
  <c r="G16" i="4"/>
  <c r="K6" i="4"/>
  <c r="K8" i="4"/>
  <c r="K10" i="4"/>
  <c r="G6" i="4"/>
  <c r="G8" i="4"/>
  <c r="G10" i="4"/>
  <c r="D6" i="4"/>
  <c r="J6" i="4" s="1"/>
  <c r="L6" i="4" s="1"/>
  <c r="D8" i="4"/>
  <c r="J8" i="4" s="1"/>
  <c r="L8" i="4" s="1"/>
  <c r="D10" i="4"/>
  <c r="J10" i="4" s="1"/>
  <c r="L10" i="4" s="1"/>
  <c r="D20" i="4"/>
  <c r="J20" i="4" s="1"/>
  <c r="L20" i="4" s="1"/>
  <c r="D14" i="4"/>
  <c r="J14" i="4" s="1"/>
  <c r="L14" i="4" s="1"/>
  <c r="D30" i="4"/>
  <c r="J30" i="4"/>
  <c r="L30" i="4" s="1"/>
  <c r="G56" i="4"/>
  <c r="G58" i="4"/>
  <c r="K56" i="4"/>
  <c r="K58" i="4"/>
  <c r="K54" i="4"/>
  <c r="K52" i="4"/>
  <c r="K50" i="4"/>
  <c r="K48" i="4"/>
  <c r="K46" i="4"/>
  <c r="K44" i="4"/>
  <c r="K42" i="4"/>
  <c r="G54" i="4"/>
  <c r="G52" i="4"/>
  <c r="G50" i="4"/>
  <c r="G48" i="4"/>
  <c r="G46" i="4"/>
  <c r="G44" i="4"/>
  <c r="G42" i="4"/>
  <c r="G40" i="4"/>
  <c r="G38" i="4"/>
  <c r="G36" i="4"/>
  <c r="G32" i="4"/>
  <c r="G30" i="4"/>
  <c r="K40" i="4"/>
  <c r="K30" i="4"/>
  <c r="K26" i="4"/>
  <c r="K24" i="4"/>
  <c r="K22" i="4"/>
  <c r="K20" i="4"/>
  <c r="K18" i="4"/>
  <c r="K14" i="4"/>
  <c r="K12" i="4"/>
  <c r="G14" i="4"/>
  <c r="G18" i="4"/>
  <c r="G20" i="4"/>
  <c r="G22" i="4"/>
  <c r="G24" i="4"/>
  <c r="G26" i="4"/>
  <c r="G12" i="4"/>
  <c r="D56" i="4"/>
  <c r="J56" i="4" s="1"/>
  <c r="L56" i="4" s="1"/>
  <c r="D58" i="4"/>
  <c r="J58" i="4" s="1"/>
  <c r="L58" i="4" s="1"/>
  <c r="D52" i="4"/>
  <c r="J52" i="4" s="1"/>
  <c r="L52" i="4" s="1"/>
  <c r="D54" i="4"/>
  <c r="J54" i="4" s="1"/>
  <c r="L54" i="4" s="1"/>
  <c r="D50" i="4"/>
  <c r="J50" i="4" s="1"/>
  <c r="L50" i="4" s="1"/>
  <c r="D44" i="4"/>
  <c r="J44" i="4" s="1"/>
  <c r="L44" i="4" s="1"/>
  <c r="D46" i="4"/>
  <c r="J46" i="4"/>
  <c r="L46" i="4" s="1"/>
  <c r="D48" i="4"/>
  <c r="J48" i="4" s="1"/>
  <c r="L48" i="4" s="1"/>
  <c r="D42" i="4"/>
  <c r="J42" i="4" s="1"/>
  <c r="L42" i="4" s="1"/>
  <c r="D40" i="4"/>
  <c r="J40" i="4" s="1"/>
  <c r="L40" i="4" s="1"/>
  <c r="D38" i="4"/>
  <c r="J38" i="4" s="1"/>
  <c r="L38" i="4" s="1"/>
  <c r="D36" i="4"/>
  <c r="J36" i="4" s="1"/>
  <c r="L36" i="4" s="1"/>
  <c r="D32" i="4"/>
  <c r="J32" i="4" s="1"/>
  <c r="L32" i="4" s="1"/>
  <c r="D18" i="4"/>
  <c r="J18" i="4" s="1"/>
  <c r="L18" i="4" s="1"/>
  <c r="D22" i="4"/>
  <c r="J22" i="4"/>
  <c r="L22" i="4" s="1"/>
  <c r="D24" i="4"/>
  <c r="J24" i="4" s="1"/>
  <c r="L24" i="4" s="1"/>
  <c r="D26" i="4"/>
  <c r="J26" i="4" s="1"/>
  <c r="L26" i="4" s="1"/>
  <c r="D12" i="4"/>
  <c r="J12" i="4" s="1"/>
  <c r="L12" i="4" s="1"/>
  <c r="O62" i="1"/>
  <c r="O53" i="1"/>
  <c r="G18" i="1"/>
  <c r="P18" i="1"/>
  <c r="F18" i="1"/>
  <c r="S11" i="1"/>
  <c r="S10" i="1"/>
  <c r="R22" i="1"/>
  <c r="G22" i="1"/>
  <c r="H22" i="1"/>
  <c r="C63" i="1" l="1"/>
  <c r="H53" i="1"/>
  <c r="J86" i="4"/>
  <c r="Q28" i="1"/>
  <c r="S22" i="1"/>
  <c r="M53" i="1" s="1"/>
  <c r="P53" i="1" l="1"/>
  <c r="A55" i="1" s="1"/>
  <c r="B55" i="1" s="1"/>
  <c r="G63" i="1"/>
  <c r="P62" i="1" s="1"/>
  <c r="L31" i="1"/>
  <c r="R31" i="1" s="1"/>
  <c r="D31" i="1"/>
  <c r="S53" i="1" l="1"/>
  <c r="R53" i="1"/>
  <c r="S62" i="1"/>
  <c r="D43" i="1"/>
  <c r="Q38" i="1"/>
  <c r="T38" i="1" s="1"/>
  <c r="Q37" i="1"/>
  <c r="T37" i="1" s="1"/>
  <c r="Q39" i="1"/>
  <c r="T39" i="1" s="1"/>
  <c r="G38" i="1"/>
  <c r="J38" i="1" s="1"/>
  <c r="T32" i="1"/>
  <c r="L43" i="1"/>
  <c r="T43" i="1" s="1"/>
  <c r="M44" i="1" s="1"/>
  <c r="Q44" i="1" s="1"/>
  <c r="G39" i="1"/>
  <c r="J39" i="1" s="1"/>
  <c r="G37" i="1"/>
  <c r="J37" i="1" s="1"/>
  <c r="Q62" i="1"/>
</calcChain>
</file>

<file path=xl/sharedStrings.xml><?xml version="1.0" encoding="utf-8"?>
<sst xmlns="http://schemas.openxmlformats.org/spreadsheetml/2006/main" count="128" uniqueCount="99">
  <si>
    <t>Owner Name:</t>
  </si>
  <si>
    <t>Well Log #:</t>
  </si>
  <si>
    <t>County:</t>
  </si>
  <si>
    <t>PWS Contractor:</t>
  </si>
  <si>
    <t>PWS Contractor Reg. #:</t>
  </si>
  <si>
    <t>inches</t>
  </si>
  <si>
    <t>feet</t>
  </si>
  <si>
    <t>lbs</t>
  </si>
  <si>
    <t>bags</t>
  </si>
  <si>
    <t>gal</t>
  </si>
  <si>
    <t>gal / bag</t>
  </si>
  <si>
    <t>gal water</t>
  </si>
  <si>
    <t>Easy fraction guide</t>
  </si>
  <si>
    <t>1/8=0.125</t>
  </si>
  <si>
    <t>1/4=0.25</t>
  </si>
  <si>
    <t>3/8=0.375</t>
  </si>
  <si>
    <t>1/2=0.5</t>
  </si>
  <si>
    <t>5/8=0.625</t>
  </si>
  <si>
    <t>3/4=0.75</t>
  </si>
  <si>
    <t>7/8=0.875</t>
  </si>
  <si>
    <t>Contact the driller if any of the information above is missing from the well log.</t>
  </si>
  <si>
    <t>Step 1.</t>
  </si>
  <si>
    <r>
      <t>Multiply 0.785 x (Borehole diameter</t>
    </r>
    <r>
      <rPr>
        <b/>
        <vertAlign val="superscript"/>
        <sz val="8"/>
        <rFont val="Arial"/>
        <family val="2"/>
      </rPr>
      <t xml:space="preserve">2 </t>
    </r>
    <r>
      <rPr>
        <b/>
        <sz val="8"/>
        <rFont val="Arial"/>
        <family val="2"/>
      </rPr>
      <t>- casing diameter</t>
    </r>
    <r>
      <rPr>
        <b/>
        <vertAlign val="superscript"/>
        <sz val="8"/>
        <rFont val="Arial"/>
        <family val="2"/>
      </rPr>
      <t>2</t>
    </r>
    <r>
      <rPr>
        <b/>
        <sz val="8"/>
        <rFont val="Arial"/>
        <family val="2"/>
      </rPr>
      <t xml:space="preserve">) = </t>
    </r>
  </si>
  <si>
    <r>
      <t>0.785 (D</t>
    </r>
    <r>
      <rPr>
        <b/>
        <vertAlign val="subscript"/>
        <sz val="8"/>
        <rFont val="Arial"/>
        <family val="2"/>
      </rPr>
      <t>b</t>
    </r>
    <r>
      <rPr>
        <b/>
        <vertAlign val="superscript"/>
        <sz val="8"/>
        <rFont val="Arial"/>
        <family val="2"/>
      </rPr>
      <t xml:space="preserve">2 </t>
    </r>
    <r>
      <rPr>
        <b/>
        <sz val="8"/>
        <rFont val="Arial"/>
        <family val="2"/>
      </rPr>
      <t>- D</t>
    </r>
    <r>
      <rPr>
        <b/>
        <vertAlign val="subscript"/>
        <sz val="8"/>
        <rFont val="Arial"/>
        <family val="2"/>
      </rPr>
      <t>c</t>
    </r>
    <r>
      <rPr>
        <b/>
        <vertAlign val="superscript"/>
        <sz val="8"/>
        <rFont val="Arial"/>
        <family val="2"/>
      </rPr>
      <t>2</t>
    </r>
    <r>
      <rPr>
        <b/>
        <sz val="8"/>
        <rFont val="Arial"/>
        <family val="2"/>
      </rPr>
      <t>) =</t>
    </r>
  </si>
  <si>
    <t>Area of Annulus</t>
  </si>
  <si>
    <t>x         ((</t>
  </si>
  <si>
    <r>
      <t>ft)</t>
    </r>
    <r>
      <rPr>
        <vertAlign val="superscript"/>
        <sz val="8"/>
        <rFont val="Arial"/>
        <family val="2"/>
      </rPr>
      <t>2</t>
    </r>
    <r>
      <rPr>
        <sz val="8"/>
        <rFont val="Arial"/>
        <family val="2"/>
      </rPr>
      <t xml:space="preserve">         -</t>
    </r>
  </si>
  <si>
    <t>(</t>
  </si>
  <si>
    <r>
      <t>ft)</t>
    </r>
    <r>
      <rPr>
        <vertAlign val="superscript"/>
        <sz val="8"/>
        <rFont val="Arial"/>
        <family val="2"/>
      </rPr>
      <t>2</t>
    </r>
    <r>
      <rPr>
        <sz val="8"/>
        <rFont val="Arial"/>
        <family val="2"/>
      </rPr>
      <t>)       =</t>
    </r>
  </si>
  <si>
    <t>sq ft</t>
  </si>
  <si>
    <t>Step 2.</t>
  </si>
  <si>
    <r>
      <t>ft</t>
    </r>
    <r>
      <rPr>
        <vertAlign val="superscript"/>
        <sz val="8"/>
        <rFont val="Arial"/>
        <family val="2"/>
      </rPr>
      <t>2</t>
    </r>
  </si>
  <si>
    <t>x</t>
  </si>
  <si>
    <t>ft</t>
  </si>
  <si>
    <t>=</t>
  </si>
  <si>
    <t>Permit Number:</t>
  </si>
  <si>
    <r>
      <t>Well Construction Information</t>
    </r>
    <r>
      <rPr>
        <b/>
        <sz val="9"/>
        <rFont val="Arial"/>
        <family val="2"/>
      </rPr>
      <t xml:space="preserve"> </t>
    </r>
    <r>
      <rPr>
        <i/>
        <sz val="9"/>
        <rFont val="Arial"/>
        <family val="2"/>
      </rPr>
      <t xml:space="preserve">(Place Well Log Information in the </t>
    </r>
    <r>
      <rPr>
        <i/>
        <sz val="9"/>
        <color indexed="10"/>
        <rFont val="Arial"/>
        <family val="2"/>
      </rPr>
      <t>Red</t>
    </r>
    <r>
      <rPr>
        <i/>
        <sz val="9"/>
        <rFont val="Arial"/>
        <family val="2"/>
      </rPr>
      <t xml:space="preserve"> boxes):</t>
    </r>
  </si>
  <si>
    <t>Property Address:</t>
  </si>
  <si>
    <r>
      <t>Borehole</t>
    </r>
    <r>
      <rPr>
        <sz val="8"/>
        <rFont val="Arial"/>
        <family val="2"/>
      </rPr>
      <t xml:space="preserve"> (D</t>
    </r>
    <r>
      <rPr>
        <vertAlign val="subscript"/>
        <sz val="8"/>
        <rFont val="Arial"/>
        <family val="2"/>
      </rPr>
      <t>b</t>
    </r>
    <r>
      <rPr>
        <sz val="8"/>
        <rFont val="Arial"/>
        <family val="2"/>
      </rPr>
      <t xml:space="preserve">) Diameter in feet  </t>
    </r>
    <r>
      <rPr>
        <i/>
        <sz val="8"/>
        <rFont val="Arial"/>
        <family val="2"/>
      </rPr>
      <t>(Place inches by decimal not fractions)</t>
    </r>
  </si>
  <si>
    <r>
      <t>Outside Diameter (OD) of Casing</t>
    </r>
    <r>
      <rPr>
        <sz val="8"/>
        <rFont val="Arial"/>
        <family val="2"/>
      </rPr>
      <t xml:space="preserve"> (D</t>
    </r>
    <r>
      <rPr>
        <vertAlign val="subscript"/>
        <sz val="8"/>
        <rFont val="Arial"/>
        <family val="2"/>
      </rPr>
      <t>c</t>
    </r>
    <r>
      <rPr>
        <sz val="8"/>
        <rFont val="Arial"/>
        <family val="2"/>
      </rPr>
      <t xml:space="preserve">) in feet  </t>
    </r>
    <r>
      <rPr>
        <i/>
        <sz val="8"/>
        <rFont val="Arial"/>
        <family val="2"/>
      </rPr>
      <t>(Place inches by decimal not fractions)</t>
    </r>
  </si>
  <si>
    <t>or</t>
  </si>
  <si>
    <t xml:space="preserve">or </t>
  </si>
  <si>
    <t>How much water was used for Slurry?</t>
  </si>
  <si>
    <r>
      <t>Length of Casing or Depth grouted to</t>
    </r>
    <r>
      <rPr>
        <sz val="8"/>
        <rFont val="Arial"/>
        <family val="2"/>
      </rPr>
      <t xml:space="preserve"> (</t>
    </r>
    <r>
      <rPr>
        <i/>
        <sz val="8"/>
        <rFont val="Arial"/>
        <family val="2"/>
      </rPr>
      <t>from well log</t>
    </r>
    <r>
      <rPr>
        <sz val="8"/>
        <rFont val="Arial"/>
        <family val="2"/>
      </rPr>
      <t>) in feet</t>
    </r>
  </si>
  <si>
    <t>Put the information as received on the well log.</t>
  </si>
  <si>
    <t>If only giving a volume, this usually refers to the amount of water used in the slurry.  Contact the contractor about how much grout was used.</t>
  </si>
  <si>
    <t>bags needed for dry pouring</t>
  </si>
  <si>
    <t>How much Grout (in weight) was used?</t>
  </si>
  <si>
    <t>In order to determine the amount of grout actually used, you must have the amount of grout used (weight or bags) and the amount of water used (gallons per bag or total gallons)</t>
  </si>
  <si>
    <t>* Specific density of granular bentonite is approximately 2.5</t>
  </si>
  <si>
    <t>** Weight of water is 8.34 lbs / gallon</t>
  </si>
  <si>
    <t>Weight of dry grout used (lbs)</t>
  </si>
  <si>
    <t>lb/gal)</t>
  </si>
  <si>
    <t>GROUT SLURRY CALCULATIONS</t>
  </si>
  <si>
    <t>x   100</t>
  </si>
  <si>
    <t>PERCENT SOLIDS CONTENT:</t>
  </si>
  <si>
    <t>GROUT SLURRY VOLUME USED:</t>
  </si>
  <si>
    <t>Do not use this form as the sole source of determining a violation for improper grouting or insufficient grout.  Contact the well driller about the findings.  Conduct an investigation to determine if the information on this document warrants taking enforcement action.</t>
  </si>
  <si>
    <t>BOREHOLE SIZE REQUIREMENTS FOR GROUTING</t>
  </si>
  <si>
    <t>PVC SDR 21</t>
  </si>
  <si>
    <t>ID</t>
  </si>
  <si>
    <t>OD</t>
  </si>
  <si>
    <t>min OD at Flair</t>
  </si>
  <si>
    <t>Minimum Borehole Size</t>
  </si>
  <si>
    <t>Dry Pour (2 inch min per side)</t>
  </si>
  <si>
    <t>PVC SDR 17</t>
  </si>
  <si>
    <t>Steel Casing</t>
  </si>
  <si>
    <t>ASTM A-500 Steel Tubing</t>
  </si>
  <si>
    <t>Fiberglass</t>
  </si>
  <si>
    <r>
      <t xml:space="preserve">Pump Slurry                                   (1 inch/side from coupling or flair, </t>
    </r>
    <r>
      <rPr>
        <sz val="10"/>
        <color indexed="10"/>
        <rFont val="Arial"/>
        <family val="2"/>
      </rPr>
      <t xml:space="preserve">1.5 inch/side casing </t>
    </r>
    <r>
      <rPr>
        <sz val="10"/>
        <rFont val="Arial"/>
        <family val="2"/>
      </rPr>
      <t>)</t>
    </r>
  </si>
  <si>
    <t>/</t>
  </si>
  <si>
    <t>gal/bag</t>
  </si>
  <si>
    <t>lbs / ft</t>
  </si>
  <si>
    <t>lbs needed</t>
  </si>
  <si>
    <t>[Weight of Grout used + (Gallons of Water Used x Weight of Water)]</t>
  </si>
  <si>
    <t>lbs     +     (</t>
  </si>
  <si>
    <t>gal     x</t>
  </si>
  <si>
    <t>80% allowable grout volume variation      =</t>
  </si>
  <si>
    <t>80% allowable grout slurry volume variation using 24 gallons water per bag of bentonite grout   =</t>
  </si>
  <si>
    <r>
      <t>ft</t>
    </r>
    <r>
      <rPr>
        <b/>
        <vertAlign val="superscript"/>
        <sz val="8"/>
        <rFont val="Arial"/>
        <family val="2"/>
      </rPr>
      <t>3</t>
    </r>
    <r>
      <rPr>
        <b/>
        <sz val="8"/>
        <rFont val="Arial"/>
        <family val="2"/>
      </rPr>
      <t xml:space="preserve"> (cubic feet)</t>
    </r>
  </si>
  <si>
    <r>
      <t>Area of annulus (ft</t>
    </r>
    <r>
      <rPr>
        <b/>
        <vertAlign val="superscript"/>
        <sz val="8"/>
        <rFont val="Arial"/>
        <family val="2"/>
      </rPr>
      <t>2</t>
    </r>
    <r>
      <rPr>
        <b/>
        <sz val="8"/>
        <rFont val="Arial"/>
        <family val="2"/>
      </rPr>
      <t>) x depth of grout (ft) = VOLUME OF ANNULUS</t>
    </r>
  </si>
  <si>
    <t>gallons</t>
  </si>
  <si>
    <t xml:space="preserve">2.5      x     8.34 lbs/gal </t>
  </si>
  <si>
    <t xml:space="preserve">24 GAL WATER / BAG ---  </t>
  </si>
  <si>
    <t>BAGS</t>
  </si>
  <si>
    <t xml:space="preserve">23 GAL WATER / BAG ---  </t>
  </si>
  <si>
    <t xml:space="preserve">20 GAL WATER / BAG ---  </t>
  </si>
  <si>
    <t xml:space="preserve">21 GAL WATER / BAG ---  </t>
  </si>
  <si>
    <t xml:space="preserve">22 GAL WATER / BAG ---  </t>
  </si>
  <si>
    <t xml:space="preserve">19 GAL WATER / BAG ---  </t>
  </si>
  <si>
    <t xml:space="preserve">Calculation for volume based on the well log information for the borehole and casing diameters: </t>
  </si>
  <si>
    <r>
      <t xml:space="preserve">Permit Information </t>
    </r>
    <r>
      <rPr>
        <b/>
        <i/>
        <sz val="9"/>
        <rFont val="Arial"/>
        <family val="2"/>
      </rPr>
      <t xml:space="preserve">(fill in the </t>
    </r>
    <r>
      <rPr>
        <b/>
        <i/>
        <sz val="9"/>
        <color rgb="FFFF0000"/>
        <rFont val="Arial"/>
        <family val="2"/>
      </rPr>
      <t>Red</t>
    </r>
    <r>
      <rPr>
        <b/>
        <i/>
        <sz val="9"/>
        <rFont val="Arial"/>
        <family val="2"/>
      </rPr>
      <t xml:space="preserve"> boxes)</t>
    </r>
  </si>
  <si>
    <t>Calculated Grout needed for each method of placement.</t>
  </si>
  <si>
    <r>
      <rPr>
        <b/>
        <u/>
        <sz val="8"/>
        <rFont val="Arial"/>
        <family val="2"/>
      </rPr>
      <t xml:space="preserve">GROUT SLURRY </t>
    </r>
    <r>
      <rPr>
        <b/>
        <sz val="8"/>
        <rFont val="Arial"/>
        <family val="2"/>
      </rPr>
      <t xml:space="preserve">(Pumped or Tremied) - Minimum </t>
    </r>
    <r>
      <rPr>
        <b/>
        <u/>
        <sz val="8"/>
        <rFont val="Arial"/>
        <family val="2"/>
      </rPr>
      <t>Bentonite Grout Slurry mixture</t>
    </r>
    <r>
      <rPr>
        <b/>
        <sz val="8"/>
        <rFont val="Arial"/>
        <family val="2"/>
      </rPr>
      <t xml:space="preserve"> needed to meet 100% of the volume.</t>
    </r>
  </si>
  <si>
    <r>
      <rPr>
        <b/>
        <u/>
        <sz val="8"/>
        <rFont val="Arial"/>
        <family val="2"/>
      </rPr>
      <t>DRY POUR</t>
    </r>
    <r>
      <rPr>
        <b/>
        <sz val="8"/>
        <rFont val="Arial"/>
        <family val="2"/>
      </rPr>
      <t xml:space="preserve"> (borehole must be a minimum of 4 inches larger in diameter than the outside diameter of the casing.</t>
    </r>
  </si>
  <si>
    <t>Dry bags of grout are equivalent to 6 gallons of grout per bag (0.75 cubic feet / bag)</t>
  </si>
  <si>
    <t>DRY DRIVEN (done when csing is driven with a cable-tool rig.  The borehole and casing will have similar sizes.</t>
  </si>
  <si>
    <t>The rule of thumb for grout placement is 2 lbs per foot.  The 80% allowance rule does not apply to the dry driven method.</t>
  </si>
  <si>
    <t>Click on the "Annular Space" tab below to verify the outside diameters of the casing 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</si>
</sst>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
  </numFmts>
  <fonts count="39" x14ac:knownFonts="1">
    <font>
      <sz val="10"/>
      <name val="Arial"/>
    </font>
    <font>
      <sz val="10"/>
      <name val="Arial"/>
      <family val="2"/>
    </font>
    <font>
      <b/>
      <u/>
      <sz val="9"/>
      <name val="Arial"/>
      <family val="2"/>
    </font>
    <font>
      <b/>
      <i/>
      <sz val="9"/>
      <name val="Arial"/>
      <family val="2"/>
    </font>
    <font>
      <sz val="9"/>
      <name val="Arial"/>
      <family val="2"/>
    </font>
    <font>
      <b/>
      <sz val="9"/>
      <name val="Arial"/>
      <family val="2"/>
    </font>
    <font>
      <b/>
      <sz val="8"/>
      <name val="Arial"/>
      <family val="2"/>
    </font>
    <font>
      <i/>
      <sz val="9"/>
      <name val="Arial"/>
      <family val="2"/>
    </font>
    <font>
      <i/>
      <sz val="9"/>
      <color indexed="10"/>
      <name val="Arial"/>
      <family val="2"/>
    </font>
    <font>
      <sz val="8"/>
      <name val="Arial"/>
      <family val="2"/>
    </font>
    <font>
      <vertAlign val="subscript"/>
      <sz val="8"/>
      <name val="Arial"/>
      <family val="2"/>
    </font>
    <font>
      <i/>
      <sz val="8"/>
      <name val="Arial"/>
      <family val="2"/>
    </font>
    <font>
      <sz val="8"/>
      <name val="Arial"/>
      <family val="2"/>
    </font>
    <font>
      <b/>
      <i/>
      <sz val="8"/>
      <name val="Arial"/>
      <family val="2"/>
    </font>
    <font>
      <i/>
      <u/>
      <sz val="8"/>
      <name val="Arial"/>
      <family val="2"/>
    </font>
    <font>
      <b/>
      <i/>
      <sz val="10"/>
      <name val="Arial"/>
      <family val="2"/>
    </font>
    <font>
      <b/>
      <u/>
      <sz val="10"/>
      <name val="Arial"/>
      <family val="2"/>
    </font>
    <font>
      <b/>
      <vertAlign val="superscript"/>
      <sz val="8"/>
      <name val="Arial"/>
      <family val="2"/>
    </font>
    <font>
      <b/>
      <vertAlign val="subscript"/>
      <sz val="8"/>
      <name val="Arial"/>
      <family val="2"/>
    </font>
    <font>
      <vertAlign val="superscript"/>
      <sz val="8"/>
      <name val="Arial"/>
      <family val="2"/>
    </font>
    <font>
      <b/>
      <sz val="10"/>
      <color indexed="10"/>
      <name val="Arial"/>
      <family val="2"/>
    </font>
    <font>
      <b/>
      <u/>
      <sz val="8"/>
      <name val="Arial"/>
      <family val="2"/>
    </font>
    <font>
      <b/>
      <sz val="10"/>
      <name val="Arial"/>
      <family val="2"/>
    </font>
    <font>
      <i/>
      <sz val="10"/>
      <name val="Arial"/>
      <family val="2"/>
    </font>
    <font>
      <b/>
      <sz val="10"/>
      <color indexed="10"/>
      <name val="Arial"/>
      <family val="2"/>
    </font>
    <font>
      <sz val="10"/>
      <color indexed="10"/>
      <name val="Arial"/>
      <family val="2"/>
    </font>
    <font>
      <sz val="10"/>
      <name val="Arial"/>
      <family val="2"/>
    </font>
    <font>
      <i/>
      <u/>
      <sz val="10"/>
      <name val="Arial"/>
      <family val="2"/>
    </font>
    <font>
      <b/>
      <sz val="10"/>
      <name val="Arial"/>
      <family val="2"/>
    </font>
    <font>
      <b/>
      <u/>
      <sz val="10"/>
      <color indexed="9"/>
      <name val="Arial"/>
      <family val="2"/>
    </font>
    <font>
      <sz val="8"/>
      <color indexed="9"/>
      <name val="Arial"/>
      <family val="2"/>
    </font>
    <font>
      <b/>
      <sz val="14"/>
      <name val="Arial"/>
      <family val="2"/>
    </font>
    <font>
      <sz val="10"/>
      <color indexed="10"/>
      <name val="Arial"/>
      <family val="2"/>
    </font>
    <font>
      <b/>
      <sz val="9"/>
      <color theme="0"/>
      <name val="Arial"/>
      <family val="2"/>
    </font>
    <font>
      <sz val="8"/>
      <color theme="0"/>
      <name val="Arial"/>
      <family val="2"/>
    </font>
    <font>
      <b/>
      <sz val="8"/>
      <color theme="0"/>
      <name val="Arial"/>
      <family val="2"/>
    </font>
    <font>
      <sz val="10"/>
      <color theme="0"/>
      <name val="Arial"/>
      <family val="2"/>
    </font>
    <font>
      <b/>
      <i/>
      <sz val="9"/>
      <color rgb="FFFF0000"/>
      <name val="Arial"/>
      <family val="2"/>
    </font>
    <font>
      <sz val="7"/>
      <color rgb="FFFF0000"/>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8"/>
        <bgColor indexed="64"/>
      </patternFill>
    </fill>
    <fill>
      <patternFill patternType="solid">
        <fgColor theme="0"/>
        <bgColor indexed="64"/>
      </patternFill>
    </fill>
    <fill>
      <patternFill patternType="solid">
        <fgColor theme="4" tint="0.59999389629810485"/>
        <bgColor indexed="64"/>
      </patternFill>
    </fill>
    <fill>
      <patternFill patternType="solid">
        <fgColor rgb="FF2D6CB9"/>
        <bgColor indexed="64"/>
      </patternFill>
    </fill>
  </fills>
  <borders count="36">
    <border>
      <left/>
      <right/>
      <top/>
      <bottom/>
      <diagonal/>
    </border>
    <border>
      <left/>
      <right style="medium">
        <color indexed="10"/>
      </right>
      <top style="medium">
        <color indexed="10"/>
      </top>
      <bottom style="medium">
        <color indexed="10"/>
      </bottom>
      <diagonal/>
    </border>
    <border>
      <left/>
      <right style="medium">
        <color indexed="64"/>
      </right>
      <top style="medium">
        <color indexed="64"/>
      </top>
      <bottom style="medium">
        <color indexed="64"/>
      </bottom>
      <diagonal/>
    </border>
    <border>
      <left style="medium">
        <color indexed="9"/>
      </left>
      <right style="medium">
        <color indexed="10"/>
      </right>
      <top style="medium">
        <color indexed="10"/>
      </top>
      <bottom style="medium">
        <color indexed="10"/>
      </bottom>
      <diagonal/>
    </border>
    <border>
      <left style="medium">
        <color indexed="64"/>
      </left>
      <right/>
      <top style="medium">
        <color indexed="64"/>
      </top>
      <bottom style="medium">
        <color indexed="64"/>
      </bottom>
      <diagonal/>
    </border>
    <border>
      <left/>
      <right/>
      <top/>
      <bottom style="double">
        <color indexed="64"/>
      </bottom>
      <diagonal/>
    </border>
    <border>
      <left/>
      <right/>
      <top style="double">
        <color indexed="64"/>
      </top>
      <bottom/>
      <diagonal/>
    </border>
    <border>
      <left/>
      <right/>
      <top/>
      <bottom style="dashed">
        <color indexed="64"/>
      </bottom>
      <diagonal/>
    </border>
    <border>
      <left/>
      <right/>
      <top style="dashed">
        <color indexed="64"/>
      </top>
      <bottom/>
      <diagonal/>
    </border>
    <border>
      <left/>
      <right/>
      <top style="medium">
        <color indexed="64"/>
      </top>
      <bottom style="medium">
        <color indexed="64"/>
      </bottom>
      <diagonal/>
    </border>
    <border>
      <left/>
      <right/>
      <top/>
      <bottom style="medium">
        <color indexed="64"/>
      </bottom>
      <diagonal/>
    </border>
    <border>
      <left/>
      <right style="medium">
        <color indexed="64"/>
      </right>
      <top/>
      <bottom/>
      <diagonal/>
    </border>
    <border>
      <left/>
      <right/>
      <top style="medium">
        <color indexed="64"/>
      </top>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style="thin">
        <color indexed="10"/>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style="medium">
        <color indexed="9"/>
      </left>
      <right/>
      <top style="medium">
        <color indexed="10"/>
      </top>
      <bottom style="medium">
        <color indexed="10"/>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medium">
        <color indexed="64"/>
      </left>
      <right/>
      <top/>
      <bottom/>
      <diagonal/>
    </border>
    <border>
      <left/>
      <right/>
      <top/>
      <bottom style="double">
        <color auto="1"/>
      </bottom>
      <diagonal/>
    </border>
    <border>
      <left/>
      <right/>
      <top style="double">
        <color auto="1"/>
      </top>
      <bottom/>
      <diagonal/>
    </border>
  </borders>
  <cellStyleXfs count="1">
    <xf numFmtId="0" fontId="0" fillId="0" borderId="0"/>
  </cellStyleXfs>
  <cellXfs count="334">
    <xf numFmtId="0" fontId="0" fillId="0" borderId="0" xfId="0"/>
    <xf numFmtId="0" fontId="6" fillId="2" borderId="1" xfId="0" applyFont="1" applyFill="1" applyBorder="1" applyAlignment="1" applyProtection="1"/>
    <xf numFmtId="0" fontId="9" fillId="3" borderId="2" xfId="0" applyFont="1" applyFill="1" applyBorder="1" applyAlignment="1"/>
    <xf numFmtId="0" fontId="0" fillId="0" borderId="0" xfId="0" applyAlignment="1">
      <alignment horizontal="center"/>
    </xf>
    <xf numFmtId="0" fontId="9" fillId="2" borderId="0" xfId="0" applyFont="1" applyFill="1" applyAlignment="1">
      <alignment vertical="center"/>
    </xf>
    <xf numFmtId="0" fontId="9" fillId="2" borderId="0" xfId="0" applyFont="1" applyFill="1" applyAlignment="1">
      <alignment horizontal="center" vertical="center"/>
    </xf>
    <xf numFmtId="0" fontId="9" fillId="2" borderId="0" xfId="0" applyFont="1" applyFill="1" applyAlignment="1">
      <alignment horizontal="right" vertical="center"/>
    </xf>
    <xf numFmtId="165" fontId="9" fillId="2" borderId="0" xfId="0" applyNumberFormat="1" applyFont="1" applyFill="1" applyAlignment="1">
      <alignment horizontal="center" vertical="center"/>
    </xf>
    <xf numFmtId="0" fontId="9" fillId="2" borderId="0" xfId="0" applyFont="1" applyFill="1"/>
    <xf numFmtId="165" fontId="9" fillId="2" borderId="0" xfId="0" applyNumberFormat="1" applyFont="1" applyFill="1" applyAlignment="1">
      <alignment horizontal="center"/>
    </xf>
    <xf numFmtId="2" fontId="9" fillId="2" borderId="0" xfId="0" applyNumberFormat="1" applyFont="1" applyFill="1"/>
    <xf numFmtId="0" fontId="9" fillId="2" borderId="0" xfId="0" applyFont="1" applyFill="1" applyAlignment="1">
      <alignment horizontal="center"/>
    </xf>
    <xf numFmtId="0" fontId="9" fillId="2" borderId="0" xfId="0" applyFont="1" applyFill="1" applyAlignment="1">
      <alignment horizontal="left"/>
    </xf>
    <xf numFmtId="2" fontId="9" fillId="2" borderId="0" xfId="0" applyNumberFormat="1" applyFont="1" applyFill="1" applyAlignment="1">
      <alignment horizontal="center"/>
    </xf>
    <xf numFmtId="0" fontId="9" fillId="4" borderId="0" xfId="0" applyFont="1" applyFill="1"/>
    <xf numFmtId="49" fontId="6" fillId="4" borderId="0" xfId="0" applyNumberFormat="1" applyFont="1" applyFill="1" applyAlignment="1">
      <alignment vertical="center"/>
    </xf>
    <xf numFmtId="0" fontId="0" fillId="2" borderId="0" xfId="0" applyFill="1"/>
    <xf numFmtId="0" fontId="6" fillId="2" borderId="0" xfId="0" applyFont="1" applyFill="1" applyBorder="1"/>
    <xf numFmtId="0" fontId="6" fillId="2" borderId="0" xfId="0" applyFont="1" applyFill="1"/>
    <xf numFmtId="0" fontId="0" fillId="0" borderId="0" xfId="0" applyFill="1"/>
    <xf numFmtId="0" fontId="0" fillId="0" borderId="0" xfId="0" applyBorder="1"/>
    <xf numFmtId="0" fontId="9" fillId="0" borderId="0" xfId="0" applyFont="1" applyFill="1" applyBorder="1" applyAlignment="1">
      <alignment horizontal="center" vertical="center"/>
    </xf>
    <xf numFmtId="0" fontId="6" fillId="0" borderId="3" xfId="0" applyFont="1" applyFill="1" applyBorder="1" applyAlignment="1">
      <alignment vertical="center"/>
    </xf>
    <xf numFmtId="0" fontId="9" fillId="3" borderId="2" xfId="0" applyFont="1" applyFill="1" applyBorder="1" applyAlignment="1">
      <alignment vertical="center"/>
    </xf>
    <xf numFmtId="0" fontId="0" fillId="0" borderId="0" xfId="0" applyFill="1" applyBorder="1"/>
    <xf numFmtId="0" fontId="6" fillId="3" borderId="4" xfId="0" applyFont="1" applyFill="1" applyBorder="1" applyAlignment="1">
      <alignment horizontal="center"/>
    </xf>
    <xf numFmtId="0" fontId="9" fillId="0" borderId="0" xfId="0" applyFont="1" applyFill="1" applyBorder="1"/>
    <xf numFmtId="0" fontId="6" fillId="2" borderId="0" xfId="0" applyFont="1" applyFill="1" applyBorder="1" applyAlignment="1" applyProtection="1"/>
    <xf numFmtId="0" fontId="9" fillId="2" borderId="0" xfId="0" applyFont="1" applyFill="1" applyBorder="1"/>
    <xf numFmtId="0" fontId="6" fillId="2" borderId="2" xfId="0" applyFont="1" applyFill="1" applyBorder="1" applyAlignment="1">
      <alignment vertical="center"/>
    </xf>
    <xf numFmtId="165" fontId="6" fillId="2" borderId="0" xfId="0" applyNumberFormat="1" applyFont="1" applyFill="1" applyBorder="1" applyAlignment="1">
      <alignment horizontal="center" vertical="center"/>
    </xf>
    <xf numFmtId="0" fontId="6" fillId="2" borderId="0" xfId="0" applyFont="1" applyFill="1" applyBorder="1" applyAlignment="1">
      <alignment vertical="center"/>
    </xf>
    <xf numFmtId="0" fontId="6" fillId="2" borderId="0" xfId="0" applyFont="1" applyFill="1" applyBorder="1" applyAlignment="1">
      <alignment horizontal="center" vertical="center"/>
    </xf>
    <xf numFmtId="0" fontId="6" fillId="0" borderId="0" xfId="0" applyFont="1" applyFill="1" applyBorder="1" applyAlignment="1">
      <alignment vertical="center"/>
    </xf>
    <xf numFmtId="0" fontId="0" fillId="2" borderId="0" xfId="0" applyFill="1" applyAlignment="1">
      <alignment horizontal="center"/>
    </xf>
    <xf numFmtId="0" fontId="6" fillId="2" borderId="0" xfId="0" applyFont="1" applyFill="1" applyAlignment="1">
      <alignment vertical="center"/>
    </xf>
    <xf numFmtId="1" fontId="6" fillId="2" borderId="0" xfId="0" applyNumberFormat="1" applyFont="1" applyFill="1" applyBorder="1" applyAlignment="1">
      <alignment horizontal="center"/>
    </xf>
    <xf numFmtId="0" fontId="0" fillId="2" borderId="0" xfId="0" applyFill="1" applyBorder="1" applyAlignment="1">
      <alignment horizontal="center"/>
    </xf>
    <xf numFmtId="0" fontId="9" fillId="2" borderId="0" xfId="0" applyFont="1" applyFill="1" applyAlignment="1" applyProtection="1">
      <alignment vertical="center"/>
    </xf>
    <xf numFmtId="0" fontId="0" fillId="2" borderId="0" xfId="0" applyFill="1" applyBorder="1"/>
    <xf numFmtId="0" fontId="9" fillId="2" borderId="0" xfId="0" applyFont="1" applyFill="1" applyBorder="1" applyAlignment="1">
      <alignment horizontal="center" vertical="center"/>
    </xf>
    <xf numFmtId="0" fontId="13" fillId="2" borderId="5" xfId="0" applyFont="1" applyFill="1" applyBorder="1" applyAlignment="1" applyProtection="1">
      <alignment vertical="center"/>
    </xf>
    <xf numFmtId="0" fontId="2" fillId="2" borderId="6" xfId="0" applyFont="1" applyFill="1" applyBorder="1" applyAlignment="1">
      <alignment vertical="center"/>
    </xf>
    <xf numFmtId="0" fontId="4" fillId="2" borderId="6" xfId="0" applyFont="1" applyFill="1" applyBorder="1" applyAlignment="1">
      <alignment horizontal="center"/>
    </xf>
    <xf numFmtId="0" fontId="4" fillId="2" borderId="0" xfId="0" applyFont="1" applyFill="1"/>
    <xf numFmtId="0" fontId="5" fillId="2" borderId="0" xfId="0" applyFont="1" applyFill="1" applyAlignment="1">
      <alignment vertical="center"/>
    </xf>
    <xf numFmtId="0" fontId="6" fillId="2" borderId="0" xfId="0" applyFont="1" applyFill="1" applyProtection="1"/>
    <xf numFmtId="0" fontId="5" fillId="2" borderId="6" xfId="0" applyFont="1" applyFill="1" applyBorder="1" applyAlignment="1">
      <alignment horizontal="center"/>
    </xf>
    <xf numFmtId="0" fontId="0" fillId="2" borderId="6" xfId="0" applyFill="1" applyBorder="1"/>
    <xf numFmtId="0" fontId="6" fillId="2" borderId="0" xfId="0" applyFont="1" applyFill="1" applyBorder="1" applyAlignment="1" applyProtection="1">
      <alignment horizontal="left" vertical="center"/>
    </xf>
    <xf numFmtId="0" fontId="9" fillId="2" borderId="0" xfId="0" applyFont="1" applyFill="1" applyBorder="1" applyAlignment="1">
      <alignment horizontal="center"/>
    </xf>
    <xf numFmtId="0" fontId="9" fillId="2" borderId="0" xfId="0" applyFont="1" applyFill="1" applyBorder="1" applyAlignment="1" applyProtection="1">
      <alignment vertical="center"/>
    </xf>
    <xf numFmtId="0" fontId="9" fillId="2" borderId="0" xfId="0" applyFont="1" applyFill="1" applyBorder="1" applyAlignment="1" applyProtection="1">
      <alignment horizontal="center"/>
    </xf>
    <xf numFmtId="0" fontId="9" fillId="2" borderId="0" xfId="0" applyFont="1" applyFill="1" applyBorder="1" applyAlignment="1" applyProtection="1">
      <alignment horizontal="left"/>
    </xf>
    <xf numFmtId="0" fontId="9" fillId="2" borderId="0" xfId="0" applyFont="1" applyFill="1" applyAlignment="1" applyProtection="1">
      <alignment horizontal="left"/>
    </xf>
    <xf numFmtId="0" fontId="9" fillId="2" borderId="0" xfId="0" applyFont="1" applyFill="1" applyAlignment="1" applyProtection="1">
      <alignment horizontal="center"/>
    </xf>
    <xf numFmtId="0" fontId="9" fillId="2" borderId="0" xfId="0" applyFont="1" applyFill="1" applyAlignment="1" applyProtection="1">
      <alignment horizontal="left" vertical="center"/>
    </xf>
    <xf numFmtId="0" fontId="6" fillId="2" borderId="0" xfId="0" applyFont="1" applyFill="1" applyAlignment="1" applyProtection="1">
      <alignment vertical="center"/>
    </xf>
    <xf numFmtId="0" fontId="6" fillId="2" borderId="0" xfId="0" applyFont="1" applyFill="1" applyBorder="1" applyAlignment="1" applyProtection="1">
      <alignment vertical="center"/>
    </xf>
    <xf numFmtId="0" fontId="6" fillId="2" borderId="0" xfId="0" applyFont="1" applyFill="1" applyBorder="1" applyAlignment="1" applyProtection="1">
      <alignment horizontal="center" vertical="center"/>
    </xf>
    <xf numFmtId="0" fontId="27" fillId="2" borderId="0" xfId="0" applyFont="1" applyFill="1" applyBorder="1" applyAlignment="1">
      <alignment horizontal="center"/>
    </xf>
    <xf numFmtId="0" fontId="27" fillId="2" borderId="0" xfId="0" applyFont="1" applyFill="1"/>
    <xf numFmtId="0" fontId="2" fillId="2" borderId="0" xfId="0" applyFont="1" applyFill="1" applyAlignment="1">
      <alignment vertical="center"/>
    </xf>
    <xf numFmtId="0" fontId="5" fillId="2" borderId="0" xfId="0" applyFont="1" applyFill="1"/>
    <xf numFmtId="0" fontId="11" fillId="2" borderId="0" xfId="0" applyFont="1" applyFill="1"/>
    <xf numFmtId="0" fontId="20" fillId="0" borderId="0" xfId="0" applyFont="1" applyFill="1" applyBorder="1" applyAlignment="1">
      <alignment horizontal="center"/>
    </xf>
    <xf numFmtId="0" fontId="9" fillId="0" borderId="0" xfId="0" applyFont="1" applyFill="1" applyBorder="1" applyAlignment="1">
      <alignment vertical="center"/>
    </xf>
    <xf numFmtId="49" fontId="5" fillId="4" borderId="0" xfId="0" applyNumberFormat="1" applyFont="1" applyFill="1" applyAlignment="1">
      <alignment vertical="center"/>
    </xf>
    <xf numFmtId="0" fontId="1" fillId="0" borderId="0" xfId="0" applyFont="1" applyFill="1" applyBorder="1" applyAlignment="1">
      <alignment horizontal="center"/>
    </xf>
    <xf numFmtId="49" fontId="9" fillId="0" borderId="0" xfId="0" applyNumberFormat="1" applyFont="1" applyFill="1" applyBorder="1" applyAlignment="1">
      <alignment horizontal="center"/>
    </xf>
    <xf numFmtId="0" fontId="0" fillId="0" borderId="0" xfId="0" applyFill="1" applyBorder="1" applyAlignment="1"/>
    <xf numFmtId="166" fontId="24" fillId="0" borderId="0" xfId="0" applyNumberFormat="1" applyFont="1" applyFill="1" applyBorder="1" applyAlignment="1">
      <alignment horizontal="center" vertical="center"/>
    </xf>
    <xf numFmtId="0" fontId="24" fillId="0" borderId="0" xfId="0" applyFont="1" applyFill="1" applyBorder="1" applyAlignment="1">
      <alignment vertical="center"/>
    </xf>
    <xf numFmtId="0" fontId="25" fillId="0" borderId="0" xfId="0" applyFont="1" applyFill="1" applyBorder="1"/>
    <xf numFmtId="49" fontId="3" fillId="0" borderId="0" xfId="0" applyNumberFormat="1" applyFont="1" applyFill="1" applyBorder="1" applyAlignment="1"/>
    <xf numFmtId="0" fontId="3" fillId="0" borderId="0" xfId="0" applyFont="1" applyFill="1" applyBorder="1" applyAlignment="1"/>
    <xf numFmtId="0" fontId="23" fillId="0" borderId="0" xfId="0" applyFont="1" applyFill="1" applyBorder="1" applyAlignment="1">
      <alignment vertical="center" wrapText="1"/>
    </xf>
    <xf numFmtId="0" fontId="0" fillId="0" borderId="0" xfId="0" applyFill="1" applyBorder="1" applyAlignment="1">
      <alignment horizontal="center"/>
    </xf>
    <xf numFmtId="0" fontId="5" fillId="2" borderId="0" xfId="0" applyFont="1" applyFill="1" applyBorder="1"/>
    <xf numFmtId="0" fontId="22" fillId="2" borderId="0" xfId="0" applyFont="1" applyFill="1" applyBorder="1" applyAlignment="1">
      <alignment horizontal="center"/>
    </xf>
    <xf numFmtId="12" fontId="0" fillId="0" borderId="0" xfId="0" applyNumberFormat="1" applyFill="1" applyBorder="1" applyAlignment="1">
      <alignment horizontal="center"/>
    </xf>
    <xf numFmtId="0" fontId="0" fillId="0" borderId="6" xfId="0" applyFill="1" applyBorder="1" applyAlignment="1">
      <alignment horizontal="center"/>
    </xf>
    <xf numFmtId="0" fontId="6" fillId="0" borderId="0" xfId="0" applyFont="1" applyFill="1" applyAlignment="1">
      <alignment vertical="center" textRotation="90"/>
    </xf>
    <xf numFmtId="0" fontId="0" fillId="0" borderId="0" xfId="0" applyFill="1" applyAlignment="1">
      <alignment horizontal="center"/>
    </xf>
    <xf numFmtId="0" fontId="0" fillId="0" borderId="6" xfId="0" applyFill="1" applyBorder="1"/>
    <xf numFmtId="12" fontId="0" fillId="0" borderId="6" xfId="0" applyNumberFormat="1" applyFill="1" applyBorder="1" applyAlignment="1">
      <alignment horizontal="center"/>
    </xf>
    <xf numFmtId="0" fontId="0" fillId="0" borderId="5" xfId="0" applyFill="1" applyBorder="1" applyAlignment="1">
      <alignment horizontal="center"/>
    </xf>
    <xf numFmtId="0" fontId="0" fillId="0" borderId="5" xfId="0" applyFill="1" applyBorder="1"/>
    <xf numFmtId="12" fontId="0" fillId="0" borderId="5" xfId="0" applyNumberFormat="1" applyFill="1" applyBorder="1" applyAlignment="1">
      <alignment horizontal="center"/>
    </xf>
    <xf numFmtId="0" fontId="0" fillId="2" borderId="0" xfId="0" applyFill="1" applyBorder="1" applyAlignment="1" applyProtection="1">
      <alignment horizontal="center"/>
    </xf>
    <xf numFmtId="0" fontId="0" fillId="2" borderId="0" xfId="0" applyFill="1" applyBorder="1" applyProtection="1"/>
    <xf numFmtId="0" fontId="9" fillId="2" borderId="0" xfId="0" applyFont="1" applyFill="1" applyBorder="1" applyAlignment="1" applyProtection="1">
      <alignment horizontal="center" vertical="center"/>
    </xf>
    <xf numFmtId="49" fontId="14" fillId="2" borderId="0" xfId="0" applyNumberFormat="1" applyFont="1" applyFill="1" applyAlignment="1" applyProtection="1"/>
    <xf numFmtId="49" fontId="11" fillId="2" borderId="0" xfId="0" applyNumberFormat="1" applyFont="1" applyFill="1" applyAlignment="1" applyProtection="1">
      <alignment horizontal="center" vertical="center"/>
    </xf>
    <xf numFmtId="0" fontId="11" fillId="2" borderId="0" xfId="0" applyFont="1" applyFill="1" applyAlignment="1" applyProtection="1">
      <alignment horizontal="center" vertical="center"/>
    </xf>
    <xf numFmtId="0" fontId="0" fillId="2" borderId="0" xfId="0" applyFill="1" applyProtection="1"/>
    <xf numFmtId="166" fontId="6" fillId="2" borderId="0" xfId="0" applyNumberFormat="1" applyFont="1" applyFill="1" applyBorder="1" applyAlignment="1" applyProtection="1">
      <alignment horizontal="center"/>
    </xf>
    <xf numFmtId="0" fontId="0" fillId="2" borderId="0" xfId="0" applyFill="1" applyAlignment="1" applyProtection="1">
      <alignment horizontal="center"/>
    </xf>
    <xf numFmtId="166" fontId="6" fillId="2" borderId="0" xfId="0" applyNumberFormat="1" applyFont="1" applyFill="1" applyBorder="1" applyAlignment="1" applyProtection="1">
      <alignment horizontal="center" vertical="center"/>
    </xf>
    <xf numFmtId="0" fontId="0" fillId="2" borderId="5" xfId="0" applyFill="1" applyBorder="1" applyProtection="1"/>
    <xf numFmtId="0" fontId="4" fillId="2" borderId="0" xfId="0" applyFont="1" applyFill="1" applyBorder="1" applyAlignment="1" applyProtection="1">
      <alignment vertical="center"/>
    </xf>
    <xf numFmtId="0" fontId="28" fillId="0" borderId="5" xfId="0" applyFont="1" applyFill="1" applyBorder="1" applyAlignment="1">
      <alignment horizontal="center" vertical="center" textRotation="90"/>
    </xf>
    <xf numFmtId="0" fontId="32" fillId="0" borderId="0" xfId="0" applyFont="1" applyFill="1" applyAlignment="1">
      <alignment horizontal="center"/>
    </xf>
    <xf numFmtId="12" fontId="32" fillId="0" borderId="0" xfId="0" applyNumberFormat="1" applyFont="1" applyFill="1" applyBorder="1" applyAlignment="1">
      <alignment horizontal="center"/>
    </xf>
    <xf numFmtId="0" fontId="0" fillId="0" borderId="7" xfId="0" applyFill="1" applyBorder="1" applyAlignment="1">
      <alignment horizontal="center"/>
    </xf>
    <xf numFmtId="0" fontId="0" fillId="0" borderId="7" xfId="0" applyFill="1" applyBorder="1"/>
    <xf numFmtId="12" fontId="0" fillId="0" borderId="7" xfId="0" applyNumberFormat="1" applyFill="1" applyBorder="1" applyAlignment="1">
      <alignment horizontal="center"/>
    </xf>
    <xf numFmtId="0" fontId="32" fillId="0" borderId="7" xfId="0" applyFont="1" applyFill="1" applyBorder="1" applyAlignment="1">
      <alignment horizontal="center"/>
    </xf>
    <xf numFmtId="12" fontId="32" fillId="0" borderId="7" xfId="0" applyNumberFormat="1" applyFont="1" applyFill="1" applyBorder="1" applyAlignment="1">
      <alignment horizontal="center"/>
    </xf>
    <xf numFmtId="0" fontId="32" fillId="0" borderId="5" xfId="0" applyFont="1" applyFill="1" applyBorder="1" applyAlignment="1">
      <alignment horizontal="center"/>
    </xf>
    <xf numFmtId="12" fontId="32" fillId="0" borderId="5" xfId="0" applyNumberFormat="1" applyFont="1" applyFill="1" applyBorder="1" applyAlignment="1">
      <alignment horizontal="center"/>
    </xf>
    <xf numFmtId="0" fontId="0" fillId="0" borderId="8" xfId="0" applyFill="1" applyBorder="1" applyAlignment="1">
      <alignment horizontal="center"/>
    </xf>
    <xf numFmtId="0" fontId="0" fillId="0" borderId="8" xfId="0" applyFill="1" applyBorder="1"/>
    <xf numFmtId="12" fontId="0" fillId="0" borderId="8" xfId="0" applyNumberFormat="1" applyFill="1" applyBorder="1" applyAlignment="1">
      <alignment horizontal="center"/>
    </xf>
    <xf numFmtId="0" fontId="32" fillId="0" borderId="0" xfId="0" applyFont="1" applyFill="1" applyBorder="1" applyAlignment="1">
      <alignment horizontal="center"/>
    </xf>
    <xf numFmtId="0" fontId="9" fillId="0" borderId="0" xfId="0" applyFont="1" applyAlignment="1">
      <alignment horizontal="center"/>
    </xf>
    <xf numFmtId="0" fontId="9" fillId="4" borderId="0" xfId="0" applyFont="1" applyFill="1" applyAlignment="1">
      <alignment horizontal="center" vertical="center"/>
    </xf>
    <xf numFmtId="1" fontId="28" fillId="6" borderId="0" xfId="0" applyNumberFormat="1" applyFont="1" applyFill="1" applyBorder="1" applyAlignment="1">
      <alignment horizontal="center"/>
    </xf>
    <xf numFmtId="0" fontId="28" fillId="6" borderId="0" xfId="0" applyFont="1" applyFill="1" applyBorder="1"/>
    <xf numFmtId="2" fontId="6" fillId="6" borderId="0" xfId="0" applyNumberFormat="1" applyFont="1" applyFill="1" applyBorder="1" applyAlignment="1">
      <alignment horizontal="center"/>
    </xf>
    <xf numFmtId="0" fontId="6" fillId="6" borderId="0" xfId="0" applyFont="1" applyFill="1" applyBorder="1"/>
    <xf numFmtId="0" fontId="0" fillId="6" borderId="0" xfId="0" applyFill="1" applyBorder="1"/>
    <xf numFmtId="1" fontId="26" fillId="6" borderId="0" xfId="0" applyNumberFormat="1" applyFont="1" applyFill="1" applyBorder="1" applyAlignment="1">
      <alignment horizontal="center"/>
    </xf>
    <xf numFmtId="1" fontId="9" fillId="6" borderId="0" xfId="0" applyNumberFormat="1" applyFont="1" applyFill="1" applyBorder="1" applyAlignment="1">
      <alignment horizontal="center"/>
    </xf>
    <xf numFmtId="0" fontId="26" fillId="6" borderId="0" xfId="0" applyFont="1" applyFill="1" applyBorder="1" applyAlignment="1">
      <alignment horizontal="center"/>
    </xf>
    <xf numFmtId="0" fontId="26" fillId="6" borderId="0" xfId="0" applyFont="1" applyFill="1" applyAlignment="1">
      <alignment horizontal="center"/>
    </xf>
    <xf numFmtId="2" fontId="9" fillId="6" borderId="0" xfId="0" applyNumberFormat="1" applyFont="1" applyFill="1" applyBorder="1" applyAlignment="1">
      <alignment horizontal="center"/>
    </xf>
    <xf numFmtId="0" fontId="9" fillId="2" borderId="10" xfId="0" applyFont="1" applyFill="1" applyBorder="1" applyAlignment="1">
      <alignment horizontal="center"/>
    </xf>
    <xf numFmtId="0" fontId="9" fillId="2" borderId="0" xfId="0" applyFont="1" applyFill="1" applyBorder="1" applyAlignment="1"/>
    <xf numFmtId="0" fontId="0" fillId="6" borderId="0" xfId="0" applyFill="1"/>
    <xf numFmtId="0" fontId="9" fillId="6" borderId="10" xfId="0" applyFont="1" applyFill="1" applyBorder="1" applyAlignment="1">
      <alignment horizontal="center"/>
    </xf>
    <xf numFmtId="0" fontId="9" fillId="6" borderId="0" xfId="0" applyFont="1" applyFill="1" applyAlignment="1">
      <alignment horizontal="left"/>
    </xf>
    <xf numFmtId="0" fontId="0" fillId="6" borderId="0" xfId="0" applyFill="1" applyAlignment="1">
      <alignment horizontal="center"/>
    </xf>
    <xf numFmtId="0" fontId="9" fillId="6" borderId="0" xfId="0" applyFont="1" applyFill="1" applyAlignment="1">
      <alignment horizontal="center"/>
    </xf>
    <xf numFmtId="0" fontId="4" fillId="6" borderId="0" xfId="0" applyFont="1" applyFill="1" applyAlignment="1">
      <alignment horizontal="center"/>
    </xf>
    <xf numFmtId="0" fontId="5" fillId="6" borderId="0" xfId="0" applyFont="1" applyFill="1" applyBorder="1" applyAlignment="1">
      <alignment horizontal="center" vertical="center"/>
    </xf>
    <xf numFmtId="0" fontId="6" fillId="2" borderId="0" xfId="0" applyFont="1" applyFill="1" applyBorder="1" applyAlignment="1"/>
    <xf numFmtId="0" fontId="9" fillId="6" borderId="10" xfId="0" applyFont="1" applyFill="1" applyBorder="1"/>
    <xf numFmtId="0" fontId="9" fillId="6" borderId="0" xfId="0" applyFont="1" applyFill="1" applyAlignment="1">
      <alignment horizontal="center" vertical="center"/>
    </xf>
    <xf numFmtId="0" fontId="6" fillId="2" borderId="14" xfId="0" applyFont="1" applyFill="1" applyBorder="1" applyAlignment="1" applyProtection="1">
      <alignment vertical="center"/>
    </xf>
    <xf numFmtId="0" fontId="16" fillId="6" borderId="0" xfId="0" applyFont="1" applyFill="1" applyBorder="1"/>
    <xf numFmtId="0" fontId="9" fillId="6" borderId="0" xfId="0" applyFont="1" applyFill="1" applyBorder="1"/>
    <xf numFmtId="0" fontId="6" fillId="6" borderId="0" xfId="0" applyFont="1" applyFill="1" applyAlignment="1">
      <alignment vertical="center"/>
    </xf>
    <xf numFmtId="0" fontId="9" fillId="6" borderId="0" xfId="0" applyFont="1" applyFill="1" applyAlignment="1">
      <alignment vertical="center"/>
    </xf>
    <xf numFmtId="165" fontId="9" fillId="6" borderId="0" xfId="0" applyNumberFormat="1" applyFont="1" applyFill="1" applyBorder="1" applyAlignment="1">
      <alignment horizontal="center" vertical="center"/>
    </xf>
    <xf numFmtId="0" fontId="9" fillId="6" borderId="0" xfId="0" applyFont="1" applyFill="1" applyAlignment="1">
      <alignment horizontal="left" vertical="center"/>
    </xf>
    <xf numFmtId="165" fontId="9" fillId="6" borderId="0" xfId="0" applyNumberFormat="1" applyFont="1" applyFill="1" applyAlignment="1">
      <alignment horizontal="center" vertical="center"/>
    </xf>
    <xf numFmtId="1" fontId="9" fillId="6" borderId="0" xfId="0" applyNumberFormat="1" applyFont="1" applyFill="1" applyAlignment="1">
      <alignment horizontal="center" vertical="center"/>
    </xf>
    <xf numFmtId="0" fontId="6" fillId="6" borderId="0" xfId="0" applyFont="1" applyFill="1"/>
    <xf numFmtId="0" fontId="9" fillId="6" borderId="0" xfId="0" applyFont="1" applyFill="1"/>
    <xf numFmtId="2" fontId="9" fillId="6" borderId="0" xfId="0" applyNumberFormat="1" applyFont="1" applyFill="1" applyAlignment="1">
      <alignment horizontal="center"/>
    </xf>
    <xf numFmtId="0" fontId="11" fillId="6" borderId="0" xfId="0" applyFont="1" applyFill="1"/>
    <xf numFmtId="2" fontId="6" fillId="6" borderId="0" xfId="0" applyNumberFormat="1" applyFont="1" applyFill="1" applyAlignment="1">
      <alignment horizontal="left"/>
    </xf>
    <xf numFmtId="2" fontId="9" fillId="6" borderId="0" xfId="0" applyNumberFormat="1" applyFont="1" applyFill="1" applyAlignment="1">
      <alignment horizontal="left"/>
    </xf>
    <xf numFmtId="166" fontId="9" fillId="6" borderId="0" xfId="0" applyNumberFormat="1" applyFont="1" applyFill="1" applyBorder="1"/>
    <xf numFmtId="0" fontId="26" fillId="6" borderId="0" xfId="0" applyFont="1" applyFill="1"/>
    <xf numFmtId="1" fontId="6" fillId="6" borderId="0" xfId="0" applyNumberFormat="1" applyFont="1" applyFill="1" applyBorder="1" applyAlignment="1">
      <alignment horizontal="center"/>
    </xf>
    <xf numFmtId="0" fontId="9" fillId="6" borderId="0" xfId="0" applyFont="1" applyFill="1" applyBorder="1" applyAlignment="1" applyProtection="1"/>
    <xf numFmtId="0" fontId="6" fillId="2" borderId="33" xfId="0" applyFont="1" applyFill="1" applyBorder="1" applyAlignment="1">
      <alignment vertical="center"/>
    </xf>
    <xf numFmtId="0" fontId="26" fillId="2" borderId="0" xfId="0" applyFont="1" applyFill="1"/>
    <xf numFmtId="0" fontId="9" fillId="0" borderId="0" xfId="0" applyFont="1" applyFill="1"/>
    <xf numFmtId="0" fontId="6" fillId="0" borderId="0" xfId="0" applyFont="1" applyFill="1"/>
    <xf numFmtId="0" fontId="6" fillId="0" borderId="0" xfId="0" applyFont="1" applyFill="1" applyBorder="1"/>
    <xf numFmtId="0" fontId="0" fillId="6" borderId="34" xfId="0" applyFill="1" applyBorder="1" applyAlignment="1">
      <alignment horizontal="center"/>
    </xf>
    <xf numFmtId="0" fontId="9" fillId="6" borderId="34" xfId="0" applyFont="1" applyFill="1" applyBorder="1" applyAlignment="1">
      <alignment vertical="center"/>
    </xf>
    <xf numFmtId="165" fontId="9" fillId="6" borderId="34" xfId="0" applyNumberFormat="1" applyFont="1" applyFill="1" applyBorder="1" applyAlignment="1">
      <alignment horizontal="center" vertical="center"/>
    </xf>
    <xf numFmtId="0" fontId="9" fillId="6" borderId="34" xfId="0" applyFont="1" applyFill="1" applyBorder="1" applyAlignment="1">
      <alignment horizontal="left" vertical="center"/>
    </xf>
    <xf numFmtId="0" fontId="9" fillId="6" borderId="34" xfId="0" applyFont="1" applyFill="1" applyBorder="1" applyAlignment="1">
      <alignment horizontal="center" vertical="center"/>
    </xf>
    <xf numFmtId="1" fontId="9" fillId="6" borderId="34" xfId="0" applyNumberFormat="1" applyFont="1" applyFill="1" applyBorder="1" applyAlignment="1">
      <alignment horizontal="center" vertical="center"/>
    </xf>
    <xf numFmtId="0" fontId="9" fillId="2" borderId="34" xfId="0" applyFont="1" applyFill="1" applyBorder="1" applyAlignment="1">
      <alignment horizontal="center" vertical="center"/>
    </xf>
    <xf numFmtId="165" fontId="6" fillId="2" borderId="34" xfId="0" applyNumberFormat="1" applyFont="1" applyFill="1" applyBorder="1" applyAlignment="1">
      <alignment horizontal="center" vertical="center"/>
    </xf>
    <xf numFmtId="0" fontId="6" fillId="2" borderId="34" xfId="0" applyFont="1" applyFill="1" applyBorder="1" applyAlignment="1">
      <alignment horizontal="center" vertical="center"/>
    </xf>
    <xf numFmtId="0" fontId="0" fillId="2" borderId="34" xfId="0" applyFill="1" applyBorder="1"/>
    <xf numFmtId="0" fontId="0" fillId="6" borderId="35" xfId="0" applyFill="1" applyBorder="1" applyAlignment="1">
      <alignment horizontal="center"/>
    </xf>
    <xf numFmtId="0" fontId="9" fillId="6" borderId="35" xfId="0" applyFont="1" applyFill="1" applyBorder="1" applyAlignment="1">
      <alignment vertical="center"/>
    </xf>
    <xf numFmtId="165" fontId="9" fillId="6" borderId="35" xfId="0" applyNumberFormat="1" applyFont="1" applyFill="1" applyBorder="1" applyAlignment="1">
      <alignment horizontal="center" vertical="center"/>
    </xf>
    <xf numFmtId="0" fontId="9" fillId="6" borderId="35" xfId="0" applyFont="1" applyFill="1" applyBorder="1" applyAlignment="1">
      <alignment horizontal="left" vertical="center"/>
    </xf>
    <xf numFmtId="0" fontId="9" fillId="6" borderId="35" xfId="0" applyFont="1" applyFill="1" applyBorder="1" applyAlignment="1">
      <alignment horizontal="center" vertical="center"/>
    </xf>
    <xf numFmtId="1" fontId="9" fillId="6" borderId="35" xfId="0" applyNumberFormat="1" applyFont="1" applyFill="1" applyBorder="1" applyAlignment="1">
      <alignment horizontal="center" vertical="center"/>
    </xf>
    <xf numFmtId="0" fontId="9" fillId="2" borderId="35" xfId="0" applyFont="1" applyFill="1" applyBorder="1" applyAlignment="1">
      <alignment horizontal="center" vertical="center"/>
    </xf>
    <xf numFmtId="165" fontId="6" fillId="2" borderId="35" xfId="0" applyNumberFormat="1" applyFont="1" applyFill="1" applyBorder="1" applyAlignment="1">
      <alignment horizontal="center" vertical="center"/>
    </xf>
    <xf numFmtId="0" fontId="6" fillId="2" borderId="35" xfId="0" applyFont="1" applyFill="1" applyBorder="1" applyAlignment="1">
      <alignment horizontal="center" vertical="center"/>
    </xf>
    <xf numFmtId="0" fontId="0" fillId="2" borderId="35" xfId="0" applyFill="1" applyBorder="1"/>
    <xf numFmtId="0" fontId="21" fillId="6" borderId="0" xfId="0" applyFont="1" applyFill="1"/>
    <xf numFmtId="0" fontId="9" fillId="6" borderId="0" xfId="0" applyFont="1" applyFill="1" applyBorder="1" applyAlignment="1"/>
    <xf numFmtId="1" fontId="6" fillId="7" borderId="0" xfId="0" applyNumberFormat="1" applyFont="1" applyFill="1" applyBorder="1" applyAlignment="1">
      <alignment horizontal="center"/>
    </xf>
    <xf numFmtId="0" fontId="6" fillId="7" borderId="0" xfId="0" applyFont="1" applyFill="1" applyBorder="1"/>
    <xf numFmtId="0" fontId="9" fillId="7" borderId="0" xfId="0" applyFont="1" applyFill="1" applyBorder="1"/>
    <xf numFmtId="166" fontId="22" fillId="7" borderId="0" xfId="0" applyNumberFormat="1" applyFont="1" applyFill="1" applyBorder="1" applyAlignment="1" applyProtection="1"/>
    <xf numFmtId="0" fontId="6" fillId="7" borderId="0" xfId="0" applyFont="1" applyFill="1" applyBorder="1" applyAlignment="1" applyProtection="1"/>
    <xf numFmtId="0" fontId="22" fillId="6" borderId="0" xfId="0" applyFont="1" applyFill="1" applyAlignment="1">
      <alignment horizontal="center"/>
    </xf>
    <xf numFmtId="2" fontId="6" fillId="0" borderId="0" xfId="0" applyNumberFormat="1" applyFont="1" applyFill="1" applyAlignment="1">
      <alignment horizontal="left"/>
    </xf>
    <xf numFmtId="2" fontId="6" fillId="0" borderId="0" xfId="0" applyNumberFormat="1" applyFont="1" applyFill="1" applyAlignment="1">
      <alignment horizontal="center"/>
    </xf>
    <xf numFmtId="2" fontId="9" fillId="0" borderId="0" xfId="0" applyNumberFormat="1" applyFont="1" applyFill="1" applyAlignment="1">
      <alignment horizontal="center"/>
    </xf>
    <xf numFmtId="1" fontId="6" fillId="0" borderId="0" xfId="0" applyNumberFormat="1" applyFont="1" applyFill="1" applyBorder="1" applyAlignment="1">
      <alignment horizontal="center"/>
    </xf>
    <xf numFmtId="0" fontId="21" fillId="0" borderId="0" xfId="0" applyFont="1" applyFill="1"/>
    <xf numFmtId="0" fontId="5" fillId="7" borderId="0" xfId="0" applyFont="1" applyFill="1" applyBorder="1"/>
    <xf numFmtId="0" fontId="26" fillId="6" borderId="0" xfId="0" applyFont="1" applyFill="1" applyBorder="1"/>
    <xf numFmtId="0" fontId="26" fillId="6" borderId="10" xfId="0" applyFont="1" applyFill="1" applyBorder="1" applyAlignment="1">
      <alignment horizontal="center"/>
    </xf>
    <xf numFmtId="0" fontId="26" fillId="6" borderId="0" xfId="0" applyFont="1" applyFill="1" applyBorder="1" applyAlignment="1">
      <alignment horizontal="center" vertical="center"/>
    </xf>
    <xf numFmtId="0" fontId="26" fillId="6" borderId="0" xfId="0" applyFont="1" applyFill="1" applyAlignment="1">
      <alignment horizontal="center" vertical="center"/>
    </xf>
    <xf numFmtId="2" fontId="22" fillId="6" borderId="0" xfId="0" applyNumberFormat="1" applyFont="1" applyFill="1" applyBorder="1" applyAlignment="1">
      <alignment horizontal="center" vertical="center" wrapText="1"/>
    </xf>
    <xf numFmtId="0" fontId="22" fillId="6" borderId="0" xfId="0" applyFont="1" applyFill="1" applyBorder="1" applyAlignment="1">
      <alignment horizontal="center" vertical="center" wrapText="1"/>
    </xf>
    <xf numFmtId="0" fontId="26" fillId="4" borderId="0" xfId="0" applyFont="1" applyFill="1"/>
    <xf numFmtId="0" fontId="22" fillId="4" borderId="0" xfId="0" applyFont="1" applyFill="1" applyBorder="1" applyAlignment="1">
      <alignment horizontal="center"/>
    </xf>
    <xf numFmtId="0" fontId="26" fillId="4" borderId="0" xfId="0" applyFont="1" applyFill="1" applyAlignment="1">
      <alignment horizontal="center" vertical="center"/>
    </xf>
    <xf numFmtId="0" fontId="26" fillId="0" borderId="10" xfId="0" applyFont="1" applyBorder="1"/>
    <xf numFmtId="0" fontId="26" fillId="2" borderId="0" xfId="0" applyFont="1" applyFill="1" applyAlignment="1">
      <alignment horizontal="center" vertical="center"/>
    </xf>
    <xf numFmtId="0" fontId="26" fillId="2" borderId="0" xfId="0" applyFont="1" applyFill="1" applyBorder="1"/>
    <xf numFmtId="0" fontId="9" fillId="2" borderId="0" xfId="0" applyFont="1" applyFill="1" applyBorder="1" applyAlignment="1">
      <alignment vertical="top" wrapText="1"/>
    </xf>
    <xf numFmtId="0" fontId="35" fillId="6" borderId="33" xfId="0" applyFont="1" applyFill="1" applyBorder="1" applyAlignment="1">
      <alignment vertical="center" wrapText="1"/>
    </xf>
    <xf numFmtId="0" fontId="36" fillId="6" borderId="0" xfId="0" applyFont="1" applyFill="1"/>
    <xf numFmtId="0" fontId="6" fillId="6" borderId="0" xfId="0" applyFont="1" applyFill="1" applyProtection="1"/>
    <xf numFmtId="0" fontId="5" fillId="6" borderId="0" xfId="0" applyFont="1" applyFill="1" applyBorder="1" applyAlignment="1" applyProtection="1">
      <alignment horizontal="center" vertical="center"/>
      <protection locked="0"/>
    </xf>
    <xf numFmtId="0" fontId="5" fillId="6" borderId="0" xfId="0" applyFont="1" applyFill="1" applyBorder="1" applyAlignment="1" applyProtection="1"/>
    <xf numFmtId="1" fontId="22" fillId="6" borderId="0" xfId="0" applyNumberFormat="1" applyFont="1" applyFill="1" applyBorder="1" applyAlignment="1" applyProtection="1">
      <alignment horizontal="center"/>
    </xf>
    <xf numFmtId="0" fontId="5" fillId="6" borderId="0" xfId="0" applyFont="1" applyFill="1" applyBorder="1" applyProtection="1"/>
    <xf numFmtId="0" fontId="0" fillId="6" borderId="0" xfId="0" applyFill="1" applyAlignment="1"/>
    <xf numFmtId="0" fontId="34" fillId="6" borderId="0" xfId="0" applyFont="1" applyFill="1" applyAlignment="1">
      <alignment horizontal="center"/>
    </xf>
    <xf numFmtId="1" fontId="38" fillId="6" borderId="0" xfId="0" applyNumberFormat="1" applyFont="1" applyFill="1" applyAlignment="1">
      <alignment horizontal="left"/>
    </xf>
    <xf numFmtId="164" fontId="5" fillId="2" borderId="14" xfId="0" applyNumberFormat="1" applyFont="1" applyFill="1" applyBorder="1" applyAlignment="1" applyProtection="1">
      <alignment horizontal="center" vertical="center"/>
    </xf>
    <xf numFmtId="0" fontId="5" fillId="2" borderId="0"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2" xfId="0" applyFont="1" applyFill="1" applyBorder="1" applyAlignment="1">
      <alignment horizontal="center" vertical="center"/>
    </xf>
    <xf numFmtId="1" fontId="33" fillId="8" borderId="4" xfId="0" applyNumberFormat="1" applyFont="1" applyFill="1" applyBorder="1" applyAlignment="1">
      <alignment horizontal="center" vertical="center"/>
    </xf>
    <xf numFmtId="1" fontId="33" fillId="8" borderId="9" xfId="0" applyNumberFormat="1" applyFont="1" applyFill="1" applyBorder="1" applyAlignment="1">
      <alignment horizontal="center" vertical="center"/>
    </xf>
    <xf numFmtId="0" fontId="33" fillId="8" borderId="9" xfId="0" applyFont="1" applyFill="1" applyBorder="1" applyAlignment="1">
      <alignment horizontal="center" vertical="center"/>
    </xf>
    <xf numFmtId="0" fontId="33" fillId="8" borderId="2" xfId="0" applyFont="1" applyFill="1" applyBorder="1" applyAlignment="1">
      <alignment horizontal="center" vertical="center"/>
    </xf>
    <xf numFmtId="0" fontId="6" fillId="6" borderId="10" xfId="0" applyFont="1" applyFill="1" applyBorder="1" applyAlignment="1">
      <alignment horizontal="center"/>
    </xf>
    <xf numFmtId="0" fontId="9" fillId="6" borderId="11" xfId="0" applyFont="1" applyFill="1" applyBorder="1" applyAlignment="1">
      <alignment horizontal="center" vertical="center"/>
    </xf>
    <xf numFmtId="0" fontId="9" fillId="4" borderId="10" xfId="0" applyFont="1" applyFill="1" applyBorder="1" applyAlignment="1">
      <alignment horizontal="center"/>
    </xf>
    <xf numFmtId="0" fontId="9" fillId="4" borderId="0" xfId="0" applyFont="1" applyFill="1" applyAlignment="1">
      <alignment horizontal="center" vertical="center"/>
    </xf>
    <xf numFmtId="0" fontId="9" fillId="4" borderId="12" xfId="0" applyFont="1" applyFill="1" applyBorder="1" applyAlignment="1">
      <alignment horizontal="center"/>
    </xf>
    <xf numFmtId="0" fontId="6" fillId="2" borderId="0" xfId="0" applyFont="1" applyFill="1" applyAlignment="1">
      <alignment horizontal="center" vertical="center"/>
    </xf>
    <xf numFmtId="0" fontId="9" fillId="6" borderId="0" xfId="0" applyFont="1" applyFill="1" applyBorder="1" applyAlignment="1">
      <alignment horizontal="center"/>
    </xf>
    <xf numFmtId="0" fontId="6" fillId="6" borderId="10" xfId="0" applyFont="1" applyFill="1" applyBorder="1" applyAlignment="1">
      <alignment horizontal="center" vertical="center"/>
    </xf>
    <xf numFmtId="0" fontId="6" fillId="6" borderId="0" xfId="0" applyFont="1" applyFill="1" applyBorder="1" applyAlignment="1">
      <alignment horizontal="center" vertical="center"/>
    </xf>
    <xf numFmtId="0" fontId="9" fillId="6" borderId="0" xfId="0" applyFont="1" applyFill="1" applyAlignment="1">
      <alignment horizontal="center" vertical="center"/>
    </xf>
    <xf numFmtId="0" fontId="2" fillId="4" borderId="0" xfId="0" applyFont="1" applyFill="1" applyBorder="1" applyAlignment="1">
      <alignment horizontal="center" vertical="top"/>
    </xf>
    <xf numFmtId="1" fontId="9" fillId="6" borderId="0" xfId="0" applyNumberFormat="1" applyFont="1" applyFill="1" applyAlignment="1">
      <alignment horizontal="center" vertical="center"/>
    </xf>
    <xf numFmtId="166" fontId="6" fillId="2" borderId="13" xfId="0" applyNumberFormat="1" applyFont="1" applyFill="1" applyBorder="1" applyAlignment="1" applyProtection="1">
      <alignment horizontal="center"/>
      <protection locked="0"/>
    </xf>
    <xf numFmtId="166" fontId="6" fillId="2" borderId="14" xfId="0" applyNumberFormat="1" applyFont="1" applyFill="1" applyBorder="1" applyAlignment="1" applyProtection="1">
      <alignment horizontal="center"/>
      <protection locked="0"/>
    </xf>
    <xf numFmtId="0" fontId="6" fillId="2" borderId="13" xfId="0" applyFont="1" applyFill="1" applyBorder="1" applyAlignment="1" applyProtection="1">
      <alignment horizontal="center" vertical="center"/>
      <protection locked="0"/>
    </xf>
    <xf numFmtId="0" fontId="6" fillId="2" borderId="14" xfId="0" applyFont="1" applyFill="1" applyBorder="1" applyAlignment="1" applyProtection="1">
      <alignment horizontal="center" vertical="center"/>
      <protection locked="0"/>
    </xf>
    <xf numFmtId="0" fontId="9" fillId="3" borderId="9" xfId="0" applyFont="1" applyFill="1" applyBorder="1" applyAlignment="1">
      <alignment horizontal="center"/>
    </xf>
    <xf numFmtId="0" fontId="9" fillId="3" borderId="2" xfId="0" applyFont="1" applyFill="1" applyBorder="1" applyAlignment="1">
      <alignment horizontal="center"/>
    </xf>
    <xf numFmtId="0" fontId="15" fillId="2" borderId="0" xfId="0" applyFont="1" applyFill="1" applyAlignment="1" applyProtection="1">
      <alignment horizontal="center" vertical="center"/>
    </xf>
    <xf numFmtId="0" fontId="6" fillId="0" borderId="13" xfId="0" applyFont="1" applyBorder="1" applyAlignment="1" applyProtection="1">
      <alignment horizontal="center"/>
      <protection locked="0"/>
    </xf>
    <xf numFmtId="0" fontId="6" fillId="0" borderId="14" xfId="0" applyFont="1" applyBorder="1" applyAlignment="1" applyProtection="1">
      <alignment horizontal="center"/>
      <protection locked="0"/>
    </xf>
    <xf numFmtId="166" fontId="6" fillId="3" borderId="4" xfId="0" applyNumberFormat="1" applyFont="1" applyFill="1" applyBorder="1" applyAlignment="1">
      <alignment horizontal="center" vertical="center"/>
    </xf>
    <xf numFmtId="166" fontId="6" fillId="3" borderId="9" xfId="0" applyNumberFormat="1" applyFont="1" applyFill="1" applyBorder="1" applyAlignment="1">
      <alignment horizontal="center" vertical="center"/>
    </xf>
    <xf numFmtId="0" fontId="11" fillId="2" borderId="0" xfId="0" applyFont="1" applyFill="1" applyAlignment="1">
      <alignment horizontal="center" vertical="center" wrapText="1"/>
    </xf>
    <xf numFmtId="0" fontId="22" fillId="2" borderId="0" xfId="0" applyFont="1" applyFill="1" applyBorder="1" applyAlignment="1">
      <alignment horizontal="center" vertical="center"/>
    </xf>
    <xf numFmtId="165" fontId="6" fillId="2" borderId="4" xfId="0" applyNumberFormat="1" applyFont="1" applyFill="1" applyBorder="1" applyAlignment="1">
      <alignment horizontal="center" vertical="center"/>
    </xf>
    <xf numFmtId="165" fontId="6" fillId="2" borderId="9" xfId="0" applyNumberFormat="1" applyFont="1" applyFill="1" applyBorder="1" applyAlignment="1">
      <alignment horizontal="center" vertical="center"/>
    </xf>
    <xf numFmtId="165" fontId="9" fillId="3" borderId="4" xfId="0" applyNumberFormat="1" applyFont="1" applyFill="1" applyBorder="1" applyAlignment="1">
      <alignment horizontal="center" vertical="center"/>
    </xf>
    <xf numFmtId="0" fontId="26" fillId="0" borderId="9" xfId="0" applyFont="1" applyBorder="1"/>
    <xf numFmtId="0" fontId="6" fillId="2" borderId="14" xfId="0" applyFont="1" applyFill="1" applyBorder="1" applyAlignment="1" applyProtection="1">
      <alignment vertical="center"/>
    </xf>
    <xf numFmtId="0" fontId="6" fillId="2" borderId="1" xfId="0" applyFont="1" applyFill="1" applyBorder="1" applyAlignment="1" applyProtection="1">
      <alignment vertical="center"/>
    </xf>
    <xf numFmtId="0" fontId="9" fillId="2" borderId="14" xfId="0" applyFont="1" applyFill="1" applyBorder="1" applyAlignment="1"/>
    <xf numFmtId="0" fontId="9" fillId="2" borderId="1" xfId="0" applyFont="1" applyFill="1" applyBorder="1" applyAlignment="1"/>
    <xf numFmtId="164" fontId="5" fillId="2" borderId="13" xfId="0" applyNumberFormat="1" applyFont="1" applyFill="1" applyBorder="1" applyAlignment="1" applyProtection="1">
      <alignment horizontal="center" vertical="center"/>
      <protection locked="0"/>
    </xf>
    <xf numFmtId="164" fontId="5" fillId="2" borderId="14" xfId="0" applyNumberFormat="1" applyFont="1" applyFill="1" applyBorder="1" applyAlignment="1" applyProtection="1">
      <alignment horizontal="center" vertical="center"/>
      <protection locked="0"/>
    </xf>
    <xf numFmtId="166" fontId="5" fillId="2" borderId="13" xfId="0" applyNumberFormat="1" applyFont="1" applyFill="1" applyBorder="1" applyAlignment="1" applyProtection="1">
      <alignment horizontal="center" vertical="center"/>
      <protection locked="0"/>
    </xf>
    <xf numFmtId="166" fontId="5" fillId="2" borderId="14" xfId="0" applyNumberFormat="1" applyFont="1" applyFill="1" applyBorder="1" applyAlignment="1" applyProtection="1">
      <alignment horizontal="center" vertical="center"/>
      <protection locked="0"/>
    </xf>
    <xf numFmtId="166" fontId="6" fillId="0" borderId="13" xfId="0" applyNumberFormat="1" applyFont="1" applyFill="1" applyBorder="1" applyAlignment="1" applyProtection="1">
      <alignment horizontal="center"/>
      <protection locked="0"/>
    </xf>
    <xf numFmtId="166" fontId="6" fillId="0" borderId="14" xfId="0" applyNumberFormat="1" applyFont="1" applyFill="1" applyBorder="1" applyAlignment="1" applyProtection="1">
      <alignment horizontal="center"/>
      <protection locked="0"/>
    </xf>
    <xf numFmtId="0" fontId="6" fillId="3" borderId="4" xfId="0" applyFont="1" applyFill="1" applyBorder="1" applyAlignment="1">
      <alignment horizontal="center"/>
    </xf>
    <xf numFmtId="0" fontId="6" fillId="3" borderId="9" xfId="0" applyFont="1" applyFill="1" applyBorder="1" applyAlignment="1">
      <alignment horizontal="center"/>
    </xf>
    <xf numFmtId="165" fontId="9" fillId="2" borderId="0" xfId="0" applyNumberFormat="1" applyFont="1" applyFill="1" applyAlignment="1">
      <alignment horizontal="center" vertical="center"/>
    </xf>
    <xf numFmtId="2" fontId="6" fillId="2" borderId="4" xfId="0" applyNumberFormat="1" applyFont="1" applyFill="1" applyBorder="1" applyAlignment="1">
      <alignment horizontal="center" vertical="center"/>
    </xf>
    <xf numFmtId="2" fontId="6" fillId="2" borderId="9" xfId="0" applyNumberFormat="1" applyFont="1" applyFill="1" applyBorder="1" applyAlignment="1">
      <alignment horizontal="center" vertical="center"/>
    </xf>
    <xf numFmtId="0" fontId="4" fillId="0" borderId="15" xfId="0" applyFont="1" applyFill="1" applyBorder="1" applyAlignment="1" applyProtection="1">
      <alignment horizontal="center" vertical="center"/>
      <protection locked="0"/>
    </xf>
    <xf numFmtId="0" fontId="4" fillId="0" borderId="16" xfId="0" applyFont="1" applyFill="1" applyBorder="1" applyAlignment="1" applyProtection="1">
      <alignment horizontal="center" vertical="center"/>
      <protection locked="0"/>
    </xf>
    <xf numFmtId="0" fontId="4" fillId="0" borderId="17" xfId="0" applyFont="1" applyFill="1" applyBorder="1" applyAlignment="1" applyProtection="1">
      <alignment horizontal="center" vertical="center"/>
      <protection locked="0"/>
    </xf>
    <xf numFmtId="0" fontId="4" fillId="0" borderId="18" xfId="0" applyFont="1" applyFill="1" applyBorder="1" applyAlignment="1" applyProtection="1">
      <alignment vertical="center" wrapText="1"/>
      <protection locked="0"/>
    </xf>
    <xf numFmtId="0" fontId="4" fillId="0" borderId="19" xfId="0" applyFont="1" applyFill="1" applyBorder="1" applyAlignment="1" applyProtection="1">
      <alignment vertical="center" wrapText="1"/>
      <protection locked="0"/>
    </xf>
    <xf numFmtId="0" fontId="4" fillId="0" borderId="20" xfId="0" applyFont="1" applyFill="1" applyBorder="1" applyAlignment="1" applyProtection="1">
      <alignment vertical="center" wrapText="1"/>
      <protection locked="0"/>
    </xf>
    <xf numFmtId="0" fontId="4" fillId="0" borderId="21" xfId="0" applyFont="1" applyFill="1" applyBorder="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4" fillId="0" borderId="22" xfId="0" applyFont="1" applyFill="1" applyBorder="1" applyAlignment="1" applyProtection="1">
      <alignment vertical="center" wrapText="1"/>
      <protection locked="0"/>
    </xf>
    <xf numFmtId="0" fontId="4" fillId="0" borderId="23" xfId="0" applyFont="1" applyFill="1" applyBorder="1" applyAlignment="1" applyProtection="1">
      <alignment vertical="center" wrapText="1"/>
      <protection locked="0"/>
    </xf>
    <xf numFmtId="0" fontId="4" fillId="0" borderId="24" xfId="0" applyFont="1" applyFill="1" applyBorder="1" applyAlignment="1" applyProtection="1">
      <alignment vertical="center" wrapText="1"/>
      <protection locked="0"/>
    </xf>
    <xf numFmtId="0" fontId="4" fillId="0" borderId="25" xfId="0" applyFont="1" applyFill="1" applyBorder="1" applyAlignment="1" applyProtection="1">
      <alignment vertical="center" wrapText="1"/>
      <protection locked="0"/>
    </xf>
    <xf numFmtId="0" fontId="6" fillId="2" borderId="0" xfId="0" applyFont="1" applyFill="1" applyAlignment="1" applyProtection="1">
      <alignment horizontal="center" vertical="center" wrapText="1"/>
    </xf>
    <xf numFmtId="0" fontId="6" fillId="2" borderId="0" xfId="0" applyFont="1" applyFill="1" applyBorder="1" applyAlignment="1" applyProtection="1">
      <alignment horizontal="center" vertical="center" wrapText="1"/>
    </xf>
    <xf numFmtId="0" fontId="9" fillId="3" borderId="9" xfId="0" applyFont="1" applyFill="1" applyBorder="1" applyAlignment="1" applyProtection="1">
      <alignment horizontal="center" vertical="center"/>
    </xf>
    <xf numFmtId="0" fontId="9" fillId="3" borderId="2" xfId="0" applyFont="1" applyFill="1" applyBorder="1" applyAlignment="1" applyProtection="1">
      <alignment horizontal="center" vertical="center"/>
    </xf>
    <xf numFmtId="0" fontId="5" fillId="0" borderId="23" xfId="0" applyFont="1" applyFill="1" applyBorder="1" applyAlignment="1" applyProtection="1">
      <alignment horizontal="center" vertical="center"/>
      <protection locked="0"/>
    </xf>
    <xf numFmtId="0" fontId="5" fillId="0" borderId="24" xfId="0" applyFont="1" applyFill="1" applyBorder="1" applyAlignment="1" applyProtection="1">
      <alignment horizontal="center" vertical="center"/>
      <protection locked="0"/>
    </xf>
    <xf numFmtId="0" fontId="5" fillId="0" borderId="25"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protection locked="0"/>
    </xf>
    <xf numFmtId="0" fontId="4" fillId="0" borderId="16"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9" fillId="0" borderId="26" xfId="0" applyFont="1" applyFill="1" applyBorder="1" applyAlignment="1" applyProtection="1">
      <alignment horizontal="left" vertical="center"/>
    </xf>
    <xf numFmtId="0" fontId="9" fillId="0" borderId="1" xfId="0" applyFont="1" applyFill="1" applyBorder="1" applyAlignment="1" applyProtection="1">
      <alignment horizontal="left" vertical="center"/>
    </xf>
    <xf numFmtId="165" fontId="9" fillId="6" borderId="0" xfId="0" applyNumberFormat="1" applyFont="1" applyFill="1" applyBorder="1" applyAlignment="1">
      <alignment horizontal="center" vertical="center"/>
    </xf>
    <xf numFmtId="2" fontId="9" fillId="6" borderId="0" xfId="0" applyNumberFormat="1" applyFont="1" applyFill="1" applyAlignment="1">
      <alignment horizontal="center"/>
    </xf>
    <xf numFmtId="165" fontId="9" fillId="6" borderId="0" xfId="0" applyNumberFormat="1" applyFont="1" applyFill="1" applyAlignment="1">
      <alignment horizontal="center" vertical="center"/>
    </xf>
    <xf numFmtId="0" fontId="30" fillId="5" borderId="6" xfId="0" applyFont="1" applyFill="1" applyBorder="1" applyAlignment="1">
      <alignment horizontal="center" vertical="top" wrapText="1"/>
    </xf>
    <xf numFmtId="0" fontId="30" fillId="5" borderId="0" xfId="0" applyFont="1" applyFill="1" applyBorder="1" applyAlignment="1">
      <alignment horizontal="center" vertical="top" wrapText="1"/>
    </xf>
    <xf numFmtId="0" fontId="29" fillId="5" borderId="6" xfId="0" applyFont="1" applyFill="1" applyBorder="1" applyAlignment="1">
      <alignment horizontal="center" vertical="top"/>
    </xf>
    <xf numFmtId="0" fontId="29" fillId="5" borderId="0" xfId="0" applyFont="1" applyFill="1" applyBorder="1" applyAlignment="1">
      <alignment horizontal="center" vertical="top"/>
    </xf>
    <xf numFmtId="1" fontId="9" fillId="6" borderId="0" xfId="0" applyNumberFormat="1" applyFont="1" applyFill="1" applyBorder="1" applyAlignment="1">
      <alignment horizontal="center"/>
    </xf>
    <xf numFmtId="0" fontId="6" fillId="2" borderId="27" xfId="0" applyFont="1" applyFill="1" applyBorder="1" applyAlignment="1">
      <alignment horizontal="center" vertical="center"/>
    </xf>
    <xf numFmtId="0" fontId="6" fillId="2" borderId="28" xfId="0" applyFont="1" applyFill="1" applyBorder="1" applyAlignment="1">
      <alignment horizontal="center" vertical="center"/>
    </xf>
    <xf numFmtId="0" fontId="6" fillId="6" borderId="27" xfId="0" applyFont="1" applyFill="1" applyBorder="1" applyAlignment="1">
      <alignment horizontal="center" vertical="center"/>
    </xf>
    <xf numFmtId="0" fontId="6" fillId="6" borderId="28" xfId="0" applyFont="1" applyFill="1" applyBorder="1" applyAlignment="1">
      <alignment horizontal="center" vertical="center"/>
    </xf>
    <xf numFmtId="0" fontId="26" fillId="6" borderId="0" xfId="0" applyFont="1" applyFill="1" applyAlignment="1">
      <alignment horizontal="center" vertical="center"/>
    </xf>
    <xf numFmtId="1" fontId="5" fillId="6" borderId="29" xfId="0" applyNumberFormat="1" applyFont="1" applyFill="1" applyBorder="1" applyAlignment="1">
      <alignment horizontal="center" vertical="center" wrapText="1"/>
    </xf>
    <xf numFmtId="1" fontId="5" fillId="6" borderId="12" xfId="0" applyNumberFormat="1" applyFont="1" applyFill="1" applyBorder="1" applyAlignment="1">
      <alignment horizontal="center" vertical="center" wrapText="1"/>
    </xf>
    <xf numFmtId="1" fontId="5" fillId="6" borderId="30" xfId="0" applyNumberFormat="1" applyFont="1" applyFill="1" applyBorder="1" applyAlignment="1">
      <alignment horizontal="center" vertical="center" wrapText="1"/>
    </xf>
    <xf numFmtId="1" fontId="5" fillId="6" borderId="10" xfId="0" applyNumberFormat="1" applyFont="1" applyFill="1" applyBorder="1" applyAlignment="1">
      <alignment horizontal="center" vertical="center" wrapText="1"/>
    </xf>
    <xf numFmtId="0" fontId="6" fillId="6" borderId="0" xfId="0" applyFont="1" applyFill="1" applyBorder="1" applyAlignment="1">
      <alignment horizontal="center" vertical="center" wrapText="1"/>
    </xf>
    <xf numFmtId="1" fontId="5" fillId="2" borderId="29" xfId="0" applyNumberFormat="1" applyFont="1" applyFill="1" applyBorder="1" applyAlignment="1">
      <alignment horizontal="center" vertical="center" wrapText="1"/>
    </xf>
    <xf numFmtId="1" fontId="5" fillId="2" borderId="30" xfId="0" applyNumberFormat="1" applyFont="1" applyFill="1" applyBorder="1" applyAlignment="1">
      <alignment horizontal="center" vertical="center" wrapText="1"/>
    </xf>
    <xf numFmtId="0" fontId="9" fillId="2" borderId="0" xfId="0" applyFont="1" applyFill="1" applyAlignment="1">
      <alignment vertical="center"/>
    </xf>
    <xf numFmtId="0" fontId="9" fillId="0" borderId="0" xfId="0" applyFont="1" applyAlignment="1">
      <alignment vertical="center"/>
    </xf>
    <xf numFmtId="0" fontId="6" fillId="6" borderId="33" xfId="0" applyFont="1" applyFill="1" applyBorder="1" applyAlignment="1">
      <alignment horizontal="center" vertical="center" wrapText="1"/>
    </xf>
    <xf numFmtId="166" fontId="5" fillId="7" borderId="0" xfId="0" applyNumberFormat="1" applyFont="1" applyFill="1" applyBorder="1" applyAlignment="1">
      <alignment horizontal="center"/>
    </xf>
    <xf numFmtId="1" fontId="5" fillId="7" borderId="0" xfId="0" applyNumberFormat="1" applyFont="1" applyFill="1" applyBorder="1" applyAlignment="1">
      <alignment horizontal="center"/>
    </xf>
    <xf numFmtId="166" fontId="6" fillId="7" borderId="0" xfId="0" applyNumberFormat="1" applyFont="1" applyFill="1" applyBorder="1" applyAlignment="1">
      <alignment horizontal="center"/>
    </xf>
    <xf numFmtId="0" fontId="6" fillId="0" borderId="0" xfId="0" applyFont="1" applyFill="1" applyAlignment="1">
      <alignment horizontal="center" vertical="center" textRotation="90"/>
    </xf>
    <xf numFmtId="0" fontId="6" fillId="0" borderId="5" xfId="0" applyFont="1" applyFill="1" applyBorder="1" applyAlignment="1">
      <alignment horizontal="center" vertical="center" textRotation="90"/>
    </xf>
    <xf numFmtId="0" fontId="6" fillId="0" borderId="6" xfId="0" applyFont="1" applyFill="1" applyBorder="1" applyAlignment="1">
      <alignment horizontal="center" vertical="center" textRotation="90"/>
    </xf>
    <xf numFmtId="0" fontId="6" fillId="0" borderId="0" xfId="0" applyFont="1" applyFill="1" applyBorder="1" applyAlignment="1">
      <alignment horizontal="center" vertical="center" textRotation="90"/>
    </xf>
    <xf numFmtId="0" fontId="28" fillId="0" borderId="6" xfId="0" applyFont="1" applyFill="1" applyBorder="1" applyAlignment="1">
      <alignment horizontal="center" vertical="center" textRotation="90"/>
    </xf>
    <xf numFmtId="0" fontId="28" fillId="0" borderId="0" xfId="0" applyFont="1" applyFill="1" applyBorder="1" applyAlignment="1">
      <alignment horizontal="center" vertical="center" textRotation="90"/>
    </xf>
    <xf numFmtId="0" fontId="28" fillId="0" borderId="5" xfId="0" applyFont="1" applyFill="1" applyBorder="1" applyAlignment="1">
      <alignment horizontal="center" vertical="center" textRotation="90"/>
    </xf>
    <xf numFmtId="0" fontId="31" fillId="0" borderId="0" xfId="0" applyFont="1" applyAlignment="1">
      <alignment horizontal="center"/>
    </xf>
    <xf numFmtId="0" fontId="28" fillId="0" borderId="10" xfId="0" applyFont="1" applyFill="1" applyBorder="1" applyAlignment="1">
      <alignment horizontal="center"/>
    </xf>
    <xf numFmtId="0" fontId="0" fillId="0" borderId="31" xfId="0" applyFill="1" applyBorder="1" applyAlignment="1">
      <alignment horizontal="center"/>
    </xf>
    <xf numFmtId="0" fontId="0" fillId="0" borderId="32" xfId="0" applyFill="1" applyBorder="1" applyAlignment="1">
      <alignment horizontal="center" wrapText="1"/>
    </xf>
    <xf numFmtId="0" fontId="28" fillId="0" borderId="31" xfId="0" applyFont="1" applyFill="1" applyBorder="1" applyAlignment="1">
      <alignment horizontal="center"/>
    </xf>
  </cellXfs>
  <cellStyles count="1">
    <cellStyle name="Normal" xfId="0" builtinId="0"/>
  </cellStyles>
  <dxfs count="8">
    <dxf>
      <font>
        <b/>
        <i val="0"/>
        <color rgb="FFFF000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lor rgb="FFFF0000"/>
        <name val="Cambria"/>
        <scheme val="none"/>
      </font>
      <fill>
        <patternFill>
          <bgColor rgb="FFFFFF00"/>
        </patternFill>
      </fill>
    </dxf>
    <dxf>
      <font>
        <b/>
        <i val="0"/>
        <color rgb="FFFF0000"/>
      </font>
      <fill>
        <patternFill>
          <bgColor rgb="FFFFFF00"/>
        </patternFill>
      </fill>
    </dxf>
    <dxf>
      <font>
        <b/>
        <i val="0"/>
        <condense val="0"/>
        <extend val="0"/>
        <color indexed="10"/>
      </font>
    </dxf>
  </dxfs>
  <tableStyles count="0" defaultTableStyle="TableStyleMedium2" defaultPivotStyle="PivotStyleLight16"/>
  <colors>
    <mruColors>
      <color rgb="FF83AEE1"/>
      <color rgb="FF2D6CB9"/>
      <color rgb="FF538D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96"/>
  <sheetViews>
    <sheetView tabSelected="1" zoomScaleNormal="100" workbookViewId="0">
      <selection activeCell="E2" sqref="E2:J2"/>
    </sheetView>
  </sheetViews>
  <sheetFormatPr defaultRowHeight="12.75" x14ac:dyDescent="0.2"/>
  <cols>
    <col min="1" max="1" width="3.7109375" customWidth="1"/>
    <col min="2" max="37" width="4.7109375" customWidth="1"/>
  </cols>
  <sheetData>
    <row r="1" spans="1:22" x14ac:dyDescent="0.2">
      <c r="A1" s="62" t="s">
        <v>91</v>
      </c>
      <c r="B1" s="16"/>
      <c r="C1" s="16"/>
      <c r="D1" s="44"/>
      <c r="E1" s="44"/>
      <c r="F1" s="44"/>
      <c r="G1" s="44"/>
      <c r="H1" s="44"/>
      <c r="I1" s="44"/>
      <c r="J1" s="44"/>
      <c r="K1" s="44"/>
      <c r="L1" s="44"/>
      <c r="M1" s="44"/>
      <c r="N1" s="16"/>
      <c r="O1" s="16"/>
      <c r="P1" s="16"/>
      <c r="Q1" s="16"/>
      <c r="R1" s="16"/>
      <c r="S1" s="16"/>
      <c r="T1" s="16"/>
      <c r="U1" s="16"/>
      <c r="V1" s="16"/>
    </row>
    <row r="2" spans="1:22" x14ac:dyDescent="0.2">
      <c r="A2" s="34"/>
      <c r="B2" s="35" t="s">
        <v>0</v>
      </c>
      <c r="C2" s="35"/>
      <c r="D2" s="44"/>
      <c r="E2" s="272"/>
      <c r="F2" s="273"/>
      <c r="G2" s="273"/>
      <c r="H2" s="273"/>
      <c r="I2" s="273"/>
      <c r="J2" s="274"/>
      <c r="K2" s="100"/>
      <c r="L2" s="284" t="s">
        <v>37</v>
      </c>
      <c r="M2" s="284"/>
      <c r="N2" s="285"/>
      <c r="O2" s="275"/>
      <c r="P2" s="276"/>
      <c r="Q2" s="276"/>
      <c r="R2" s="276"/>
      <c r="S2" s="276"/>
      <c r="T2" s="276"/>
      <c r="U2" s="276"/>
      <c r="V2" s="277"/>
    </row>
    <row r="3" spans="1:22" x14ac:dyDescent="0.2">
      <c r="A3" s="34"/>
      <c r="B3" s="63" t="s">
        <v>2</v>
      </c>
      <c r="C3" s="16"/>
      <c r="D3" s="16"/>
      <c r="E3" s="272"/>
      <c r="F3" s="273"/>
      <c r="G3" s="273"/>
      <c r="H3" s="273"/>
      <c r="I3" s="273"/>
      <c r="J3" s="274"/>
      <c r="K3" s="95"/>
      <c r="L3" s="284"/>
      <c r="M3" s="284"/>
      <c r="N3" s="285"/>
      <c r="O3" s="278"/>
      <c r="P3" s="279"/>
      <c r="Q3" s="279"/>
      <c r="R3" s="279"/>
      <c r="S3" s="279"/>
      <c r="T3" s="279"/>
      <c r="U3" s="279"/>
      <c r="V3" s="280"/>
    </row>
    <row r="4" spans="1:22" x14ac:dyDescent="0.2">
      <c r="A4" s="34"/>
      <c r="B4" s="18" t="s">
        <v>35</v>
      </c>
      <c r="C4" s="16"/>
      <c r="D4" s="16"/>
      <c r="E4" s="272"/>
      <c r="F4" s="273"/>
      <c r="G4" s="273"/>
      <c r="H4" s="273"/>
      <c r="I4" s="273"/>
      <c r="J4" s="274"/>
      <c r="K4" s="95"/>
      <c r="L4" s="95"/>
      <c r="M4" s="95"/>
      <c r="N4" s="95"/>
      <c r="O4" s="281"/>
      <c r="P4" s="282"/>
      <c r="Q4" s="282"/>
      <c r="R4" s="282"/>
      <c r="S4" s="282"/>
      <c r="T4" s="282"/>
      <c r="U4" s="282"/>
      <c r="V4" s="283"/>
    </row>
    <row r="5" spans="1:22" ht="6" customHeight="1" thickBot="1" x14ac:dyDescent="0.25">
      <c r="A5" s="34"/>
      <c r="B5" s="16"/>
      <c r="C5" s="16"/>
      <c r="D5" s="16"/>
      <c r="E5" s="16"/>
      <c r="F5" s="16"/>
      <c r="G5" s="16"/>
      <c r="H5" s="16"/>
      <c r="I5" s="16"/>
      <c r="J5" s="16"/>
      <c r="K5" s="16"/>
      <c r="L5" s="16"/>
      <c r="M5" s="16"/>
      <c r="N5" s="16"/>
      <c r="O5" s="16"/>
      <c r="P5" s="16"/>
      <c r="Q5" s="16"/>
      <c r="R5" s="16"/>
      <c r="S5" s="16"/>
      <c r="T5" s="16"/>
      <c r="U5" s="16"/>
      <c r="V5" s="16"/>
    </row>
    <row r="6" spans="1:22" ht="13.5" thickTop="1" x14ac:dyDescent="0.2">
      <c r="A6" s="42" t="s">
        <v>36</v>
      </c>
      <c r="B6" s="43"/>
      <c r="C6" s="43"/>
      <c r="D6" s="43"/>
      <c r="E6" s="43"/>
      <c r="F6" s="43"/>
      <c r="G6" s="43"/>
      <c r="H6" s="43"/>
      <c r="I6" s="47"/>
      <c r="J6" s="48"/>
      <c r="K6" s="43"/>
      <c r="L6" s="48"/>
      <c r="M6" s="48"/>
      <c r="N6" s="48"/>
      <c r="O6" s="48"/>
      <c r="P6" s="48"/>
      <c r="Q6" s="48"/>
      <c r="R6" s="48"/>
      <c r="S6" s="48"/>
      <c r="T6" s="48"/>
      <c r="U6" s="48"/>
      <c r="V6" s="48"/>
    </row>
    <row r="7" spans="1:22" x14ac:dyDescent="0.2">
      <c r="A7" s="16"/>
      <c r="B7" s="35" t="s">
        <v>3</v>
      </c>
      <c r="C7" s="44"/>
      <c r="D7" s="16"/>
      <c r="E7" s="291"/>
      <c r="F7" s="292"/>
      <c r="G7" s="292"/>
      <c r="H7" s="292"/>
      <c r="I7" s="292"/>
      <c r="J7" s="292"/>
      <c r="K7" s="292"/>
      <c r="L7" s="293"/>
      <c r="M7" s="16"/>
      <c r="N7" s="49" t="s">
        <v>4</v>
      </c>
      <c r="O7" s="16"/>
      <c r="P7" s="16"/>
      <c r="Q7" s="16"/>
      <c r="R7" s="272"/>
      <c r="S7" s="273"/>
      <c r="T7" s="274"/>
      <c r="U7" s="16"/>
      <c r="V7" s="16"/>
    </row>
    <row r="8" spans="1:22" x14ac:dyDescent="0.2">
      <c r="A8" s="45"/>
      <c r="B8" s="46" t="s">
        <v>1</v>
      </c>
      <c r="C8" s="16"/>
      <c r="D8" s="16"/>
      <c r="E8" s="288"/>
      <c r="F8" s="289"/>
      <c r="G8" s="289"/>
      <c r="H8" s="290"/>
      <c r="I8" s="129"/>
      <c r="J8" s="129"/>
      <c r="K8" s="129"/>
      <c r="L8" s="129"/>
      <c r="M8" s="129"/>
      <c r="N8" s="129"/>
      <c r="O8" s="129"/>
      <c r="P8" s="129"/>
      <c r="Q8" s="129"/>
      <c r="R8" s="129"/>
      <c r="S8" s="129"/>
      <c r="T8" s="129"/>
      <c r="U8" s="129"/>
      <c r="V8" s="16"/>
    </row>
    <row r="9" spans="1:22" ht="13.5" thickBot="1" x14ac:dyDescent="0.25">
      <c r="A9" s="45"/>
      <c r="B9" s="212"/>
      <c r="C9" s="129"/>
      <c r="D9" s="129"/>
      <c r="E9" s="213"/>
      <c r="F9" s="213"/>
      <c r="G9" s="213"/>
      <c r="H9" s="213"/>
      <c r="I9" s="129"/>
      <c r="J9" s="129"/>
      <c r="K9" s="129"/>
      <c r="L9" s="129"/>
      <c r="M9" s="129"/>
      <c r="N9" s="129"/>
      <c r="O9" s="129"/>
      <c r="P9" s="129"/>
      <c r="Q9" s="129"/>
      <c r="R9" s="129"/>
      <c r="S9" s="129"/>
      <c r="T9" s="129"/>
      <c r="U9" s="129"/>
      <c r="V9" s="16"/>
    </row>
    <row r="10" spans="1:22" ht="13.5" thickBot="1" x14ac:dyDescent="0.25">
      <c r="A10" s="57" t="s">
        <v>38</v>
      </c>
      <c r="B10" s="55"/>
      <c r="C10" s="55"/>
      <c r="D10" s="55"/>
      <c r="E10" s="55"/>
      <c r="F10" s="55"/>
      <c r="G10" s="55"/>
      <c r="H10" s="55"/>
      <c r="I10" s="34"/>
      <c r="J10" s="16"/>
      <c r="K10" s="16"/>
      <c r="L10" s="16"/>
      <c r="M10" s="16"/>
      <c r="N10" s="16"/>
      <c r="O10" s="261"/>
      <c r="P10" s="262"/>
      <c r="Q10" s="257" t="s">
        <v>5</v>
      </c>
      <c r="R10" s="258"/>
      <c r="S10" s="34" t="str">
        <f>"="</f>
        <v>=</v>
      </c>
      <c r="T10" s="255">
        <f>O10/12</f>
        <v>0</v>
      </c>
      <c r="U10" s="256"/>
      <c r="V10" s="2" t="s">
        <v>6</v>
      </c>
    </row>
    <row r="11" spans="1:22" ht="13.5" thickBot="1" x14ac:dyDescent="0.25">
      <c r="A11" s="57" t="s">
        <v>39</v>
      </c>
      <c r="B11" s="55"/>
      <c r="C11" s="55"/>
      <c r="D11" s="55"/>
      <c r="E11" s="55"/>
      <c r="F11" s="55"/>
      <c r="G11" s="55"/>
      <c r="H11" s="55"/>
      <c r="I11" s="34"/>
      <c r="J11" s="16"/>
      <c r="K11" s="16"/>
      <c r="L11" s="16"/>
      <c r="M11" s="16"/>
      <c r="N11" s="16"/>
      <c r="O11" s="261"/>
      <c r="P11" s="262"/>
      <c r="Q11" s="257" t="s">
        <v>5</v>
      </c>
      <c r="R11" s="258"/>
      <c r="S11" s="34" t="str">
        <f>"="</f>
        <v>=</v>
      </c>
      <c r="T11" s="255">
        <f>O11/12</f>
        <v>0</v>
      </c>
      <c r="U11" s="256"/>
      <c r="V11" s="2" t="s">
        <v>6</v>
      </c>
    </row>
    <row r="12" spans="1:22" ht="13.5" thickBot="1" x14ac:dyDescent="0.25">
      <c r="A12" s="57"/>
      <c r="B12" s="54" t="s">
        <v>98</v>
      </c>
      <c r="C12" s="55"/>
      <c r="D12" s="55"/>
      <c r="E12" s="55"/>
      <c r="F12" s="55"/>
      <c r="G12" s="55"/>
      <c r="H12" s="55"/>
      <c r="I12" s="34"/>
      <c r="J12" s="16"/>
      <c r="K12" s="16"/>
      <c r="L12" s="16"/>
      <c r="M12" s="16"/>
      <c r="N12" s="16"/>
      <c r="O12" s="220"/>
      <c r="P12" s="220"/>
      <c r="Q12" s="139"/>
      <c r="R12" s="139"/>
      <c r="S12" s="34"/>
      <c r="T12" s="144"/>
      <c r="U12" s="197"/>
      <c r="V12" s="184"/>
    </row>
    <row r="13" spans="1:22" ht="13.5" thickBot="1" x14ac:dyDescent="0.25">
      <c r="A13" s="57" t="s">
        <v>43</v>
      </c>
      <c r="B13" s="55"/>
      <c r="C13" s="55"/>
      <c r="D13" s="55"/>
      <c r="E13" s="55"/>
      <c r="F13" s="55"/>
      <c r="G13" s="55"/>
      <c r="H13" s="55"/>
      <c r="I13" s="34"/>
      <c r="J13" s="16"/>
      <c r="K13" s="16"/>
      <c r="L13" s="16"/>
      <c r="M13" s="16"/>
      <c r="N13" s="16"/>
      <c r="O13" s="263"/>
      <c r="P13" s="264"/>
      <c r="Q13" s="257" t="s">
        <v>6</v>
      </c>
      <c r="R13" s="258"/>
      <c r="S13" s="16"/>
      <c r="T13" s="50"/>
      <c r="U13" s="40"/>
      <c r="V13" s="16"/>
    </row>
    <row r="14" spans="1:22" ht="6" customHeight="1" x14ac:dyDescent="0.2">
      <c r="A14" s="8"/>
      <c r="B14" s="16"/>
      <c r="C14" s="16"/>
      <c r="E14" s="16"/>
      <c r="F14" s="39"/>
      <c r="G14" s="52"/>
      <c r="H14" s="52"/>
      <c r="I14" s="89"/>
      <c r="J14" s="90"/>
      <c r="K14" s="90"/>
      <c r="L14" s="90"/>
      <c r="M14" s="90"/>
      <c r="N14" s="90"/>
      <c r="O14" s="96"/>
      <c r="P14" s="96"/>
      <c r="Q14" s="27"/>
      <c r="R14" s="27"/>
      <c r="S14" s="90"/>
      <c r="T14" s="52"/>
      <c r="U14" s="91"/>
      <c r="V14" s="90"/>
    </row>
    <row r="15" spans="1:22" x14ac:dyDescent="0.2">
      <c r="A15" s="92" t="s">
        <v>12</v>
      </c>
      <c r="B15" s="55"/>
      <c r="C15" s="55"/>
      <c r="D15" s="55"/>
      <c r="E15" s="93" t="s">
        <v>13</v>
      </c>
      <c r="F15" s="59"/>
      <c r="G15" s="94" t="s">
        <v>14</v>
      </c>
      <c r="H15" s="54"/>
      <c r="I15" s="94" t="s">
        <v>15</v>
      </c>
      <c r="J15" s="95"/>
      <c r="K15" s="94" t="s">
        <v>16</v>
      </c>
      <c r="L15" s="95"/>
      <c r="M15" s="94" t="s">
        <v>17</v>
      </c>
      <c r="N15" s="95"/>
      <c r="O15" s="94" t="s">
        <v>18</v>
      </c>
      <c r="P15" s="95"/>
      <c r="Q15" s="94" t="s">
        <v>19</v>
      </c>
      <c r="R15" s="95"/>
      <c r="S15" s="95"/>
      <c r="T15" s="95"/>
      <c r="U15" s="95"/>
      <c r="V15" s="90"/>
    </row>
    <row r="16" spans="1:22" ht="6" customHeight="1" x14ac:dyDescent="0.2">
      <c r="A16" s="51"/>
      <c r="B16" s="52"/>
      <c r="C16" s="52"/>
      <c r="D16" s="52"/>
      <c r="E16" s="52"/>
      <c r="F16" s="52"/>
      <c r="G16" s="52"/>
      <c r="H16" s="52"/>
      <c r="I16" s="89"/>
      <c r="J16" s="90"/>
      <c r="K16" s="90"/>
      <c r="L16" s="90"/>
      <c r="M16" s="90"/>
      <c r="N16" s="90"/>
      <c r="O16" s="96"/>
      <c r="P16" s="96"/>
      <c r="Q16" s="27"/>
      <c r="R16" s="27"/>
      <c r="S16" s="90"/>
      <c r="T16" s="52"/>
      <c r="U16" s="91"/>
      <c r="V16" s="90"/>
    </row>
    <row r="17" spans="1:22" ht="13.5" thickBot="1" x14ac:dyDescent="0.25">
      <c r="A17" s="58" t="s">
        <v>47</v>
      </c>
      <c r="B17" s="52"/>
      <c r="C17" s="52"/>
      <c r="D17" s="52"/>
      <c r="E17" s="52"/>
      <c r="F17" s="52"/>
      <c r="G17" s="95"/>
      <c r="H17" s="53" t="s">
        <v>44</v>
      </c>
      <c r="I17" s="95"/>
      <c r="J17" s="95"/>
      <c r="K17" s="95"/>
      <c r="L17" s="95"/>
      <c r="M17" s="95"/>
      <c r="N17" s="95"/>
      <c r="O17" s="95"/>
      <c r="P17" s="95"/>
      <c r="Q17" s="95"/>
      <c r="R17" s="95"/>
      <c r="S17" s="95"/>
      <c r="T17" s="95"/>
      <c r="U17" s="95"/>
      <c r="V17" s="95"/>
    </row>
    <row r="18" spans="1:22" ht="13.5" thickBot="1" x14ac:dyDescent="0.25">
      <c r="A18" s="58"/>
      <c r="B18" s="16"/>
      <c r="C18" s="240"/>
      <c r="D18" s="241"/>
      <c r="E18" s="1" t="s">
        <v>7</v>
      </c>
      <c r="F18" s="3" t="str">
        <f>"="</f>
        <v>=</v>
      </c>
      <c r="G18" s="249">
        <f>C18/50</f>
        <v>0</v>
      </c>
      <c r="H18" s="250"/>
      <c r="I18" s="23" t="s">
        <v>8</v>
      </c>
      <c r="J18" s="16"/>
      <c r="K18" s="60" t="s">
        <v>41</v>
      </c>
      <c r="L18" s="16"/>
      <c r="M18" s="265"/>
      <c r="N18" s="266"/>
      <c r="O18" s="22" t="s">
        <v>8</v>
      </c>
      <c r="P18" s="3" t="str">
        <f>"="</f>
        <v>=</v>
      </c>
      <c r="Q18" s="249">
        <f>M18*50</f>
        <v>0</v>
      </c>
      <c r="R18" s="250"/>
      <c r="S18" s="23" t="s">
        <v>7</v>
      </c>
      <c r="T18" s="16"/>
      <c r="U18" s="16"/>
      <c r="V18" s="16"/>
    </row>
    <row r="19" spans="1:22" ht="6" customHeight="1" x14ac:dyDescent="0.2">
      <c r="A19" s="51"/>
      <c r="B19" s="52"/>
      <c r="C19" s="95"/>
      <c r="D19" s="95"/>
      <c r="E19" s="95"/>
      <c r="F19" s="95"/>
      <c r="G19" s="95"/>
      <c r="H19" s="95"/>
      <c r="I19" s="95"/>
      <c r="J19" s="95"/>
      <c r="K19" s="95"/>
      <c r="L19" s="95"/>
      <c r="M19" s="95"/>
      <c r="N19" s="95"/>
      <c r="O19" s="95"/>
      <c r="P19" s="95"/>
      <c r="Q19" s="95"/>
      <c r="R19" s="95"/>
      <c r="S19" s="95"/>
      <c r="T19" s="95"/>
      <c r="U19" s="95"/>
      <c r="V19" s="95"/>
    </row>
    <row r="20" spans="1:22" x14ac:dyDescent="0.2">
      <c r="A20" s="46" t="s">
        <v>42</v>
      </c>
      <c r="B20" s="95"/>
      <c r="C20" s="95"/>
      <c r="D20" s="95"/>
      <c r="E20" s="95"/>
      <c r="F20" s="95"/>
      <c r="G20" s="95"/>
      <c r="H20" s="53" t="s">
        <v>44</v>
      </c>
      <c r="I20" s="95"/>
      <c r="J20" s="95"/>
      <c r="K20" s="95"/>
      <c r="L20" s="95"/>
      <c r="M20" s="95"/>
      <c r="N20" s="95"/>
      <c r="O20" s="95"/>
      <c r="P20" s="95"/>
      <c r="Q20" s="95"/>
      <c r="R20" s="95"/>
      <c r="S20" s="95"/>
      <c r="T20" s="95"/>
      <c r="U20" s="95"/>
      <c r="V20" s="95"/>
    </row>
    <row r="21" spans="1:22" ht="13.5" thickBot="1" x14ac:dyDescent="0.25">
      <c r="A21" s="38"/>
      <c r="B21" s="54" t="s">
        <v>45</v>
      </c>
      <c r="C21" s="55"/>
      <c r="D21" s="55"/>
      <c r="E21" s="55"/>
      <c r="F21" s="52"/>
      <c r="G21" s="52"/>
      <c r="H21" s="56"/>
      <c r="I21" s="97"/>
      <c r="J21" s="95"/>
      <c r="K21" s="95"/>
      <c r="L21" s="95"/>
      <c r="M21" s="95"/>
      <c r="N21" s="95"/>
      <c r="O21" s="96"/>
      <c r="P21" s="96"/>
      <c r="Q21" s="27"/>
      <c r="R21" s="27"/>
      <c r="S21" s="90"/>
      <c r="T21" s="98"/>
      <c r="U21" s="91"/>
      <c r="V21" s="91"/>
    </row>
    <row r="22" spans="1:22" ht="13.5" thickBot="1" x14ac:dyDescent="0.25">
      <c r="A22" s="38"/>
      <c r="B22" s="16"/>
      <c r="C22" s="242"/>
      <c r="D22" s="243"/>
      <c r="E22" s="259" t="s">
        <v>11</v>
      </c>
      <c r="F22" s="260"/>
      <c r="G22" s="34" t="str">
        <f>"="</f>
        <v>=</v>
      </c>
      <c r="H22" s="25">
        <f>IF(C22="",0,IF(G18=0,IF(Q18=0,"",SUM(C22/M18)),SUM(C22/G18)))</f>
        <v>0</v>
      </c>
      <c r="I22" s="286" t="s">
        <v>10</v>
      </c>
      <c r="J22" s="287"/>
      <c r="K22" s="16"/>
      <c r="L22" s="61" t="s">
        <v>40</v>
      </c>
      <c r="M22" s="16"/>
      <c r="N22" s="247"/>
      <c r="O22" s="248"/>
      <c r="P22" s="294" t="s">
        <v>10</v>
      </c>
      <c r="Q22" s="295"/>
      <c r="R22" s="34" t="str">
        <f>"="</f>
        <v>=</v>
      </c>
      <c r="S22" s="267">
        <f>IF(N22="",0,IF(G18=0,IF(Q18=0,"",SUM(N22*M18)),SUM(N22*G18)))</f>
        <v>0</v>
      </c>
      <c r="T22" s="268"/>
      <c r="U22" s="244" t="s">
        <v>11</v>
      </c>
      <c r="V22" s="245"/>
    </row>
    <row r="23" spans="1:22" ht="6" customHeight="1" x14ac:dyDescent="0.2">
      <c r="A23" s="38"/>
      <c r="B23" s="95"/>
      <c r="C23" s="95"/>
      <c r="D23" s="95"/>
      <c r="E23" s="95"/>
      <c r="F23" s="95"/>
      <c r="G23" s="95"/>
      <c r="H23" s="95"/>
      <c r="I23" s="95"/>
      <c r="J23" s="95"/>
      <c r="K23" s="95"/>
      <c r="L23" s="95"/>
      <c r="M23" s="95"/>
      <c r="N23" s="95"/>
      <c r="O23" s="96"/>
      <c r="P23" s="96"/>
      <c r="Q23" s="27"/>
      <c r="R23" s="27"/>
      <c r="S23" s="90"/>
      <c r="T23" s="98"/>
      <c r="U23" s="91"/>
      <c r="V23" s="91"/>
    </row>
    <row r="24" spans="1:22" x14ac:dyDescent="0.2">
      <c r="A24" s="246" t="s">
        <v>20</v>
      </c>
      <c r="B24" s="246"/>
      <c r="C24" s="246"/>
      <c r="D24" s="246"/>
      <c r="E24" s="246"/>
      <c r="F24" s="246"/>
      <c r="G24" s="246"/>
      <c r="H24" s="246"/>
      <c r="I24" s="246"/>
      <c r="J24" s="246"/>
      <c r="K24" s="246"/>
      <c r="L24" s="246"/>
      <c r="M24" s="246"/>
      <c r="N24" s="246"/>
      <c r="O24" s="246"/>
      <c r="P24" s="246"/>
      <c r="Q24" s="246"/>
      <c r="R24" s="246"/>
      <c r="S24" s="246"/>
      <c r="T24" s="246"/>
      <c r="U24" s="246"/>
      <c r="V24" s="246"/>
    </row>
    <row r="25" spans="1:22" ht="6" customHeight="1" thickBot="1" x14ac:dyDescent="0.25">
      <c r="A25" s="99"/>
      <c r="B25" s="99"/>
      <c r="C25" s="99"/>
      <c r="D25" s="99"/>
      <c r="E25" s="99"/>
      <c r="F25" s="99"/>
      <c r="G25" s="99"/>
      <c r="H25" s="99"/>
      <c r="I25" s="99"/>
      <c r="J25" s="99"/>
      <c r="K25" s="99"/>
      <c r="L25" s="99"/>
      <c r="M25" s="99"/>
      <c r="N25" s="41"/>
      <c r="O25" s="99"/>
      <c r="P25" s="99"/>
      <c r="Q25" s="99"/>
      <c r="R25" s="99"/>
      <c r="S25" s="99"/>
      <c r="T25" s="99"/>
      <c r="U25" s="99"/>
      <c r="V25" s="41"/>
    </row>
    <row r="26" spans="1:22" ht="13.5" thickTop="1" x14ac:dyDescent="0.2">
      <c r="A26" s="140" t="s">
        <v>90</v>
      </c>
      <c r="B26" s="129"/>
      <c r="C26" s="140"/>
      <c r="D26" s="141"/>
      <c r="E26" s="141"/>
      <c r="F26" s="141"/>
      <c r="G26" s="141"/>
      <c r="H26" s="141"/>
      <c r="I26" s="141"/>
      <c r="J26" s="141"/>
      <c r="K26" s="28"/>
      <c r="L26" s="28"/>
      <c r="M26" s="28"/>
      <c r="N26" s="16"/>
      <c r="O26" s="16"/>
      <c r="P26" s="16"/>
      <c r="Q26" s="16"/>
      <c r="R26" s="16"/>
      <c r="S26" s="16"/>
      <c r="T26" s="16"/>
      <c r="U26" s="16"/>
      <c r="V26" s="16"/>
    </row>
    <row r="27" spans="1:22" ht="13.5" thickBot="1" x14ac:dyDescent="0.25">
      <c r="A27" s="132"/>
      <c r="B27" s="142" t="s">
        <v>21</v>
      </c>
      <c r="C27" s="142"/>
      <c r="D27" s="142" t="s">
        <v>22</v>
      </c>
      <c r="E27" s="143"/>
      <c r="F27" s="143"/>
      <c r="G27" s="143"/>
      <c r="H27" s="143"/>
      <c r="I27" s="143"/>
      <c r="J27" s="142" t="s">
        <v>23</v>
      </c>
      <c r="K27" s="4"/>
      <c r="L27" s="16"/>
      <c r="M27" s="35" t="s">
        <v>24</v>
      </c>
      <c r="N27" s="16"/>
      <c r="O27" s="16"/>
      <c r="P27" s="16"/>
      <c r="Q27" s="16"/>
      <c r="R27" s="16"/>
      <c r="S27" s="16"/>
      <c r="T27" s="16"/>
      <c r="U27" s="16"/>
      <c r="V27" s="16"/>
    </row>
    <row r="28" spans="1:22" ht="13.5" thickBot="1" x14ac:dyDescent="0.25">
      <c r="A28" s="132"/>
      <c r="B28" s="143"/>
      <c r="C28" s="143"/>
      <c r="D28" s="237">
        <v>0.78500000000000003</v>
      </c>
      <c r="E28" s="237"/>
      <c r="F28" s="237" t="s">
        <v>25</v>
      </c>
      <c r="G28" s="237"/>
      <c r="H28" s="296">
        <f>T10</f>
        <v>0</v>
      </c>
      <c r="I28" s="296"/>
      <c r="J28" s="143" t="s">
        <v>26</v>
      </c>
      <c r="K28" s="4"/>
      <c r="L28" s="6" t="s">
        <v>27</v>
      </c>
      <c r="M28" s="269">
        <f>T11</f>
        <v>0</v>
      </c>
      <c r="N28" s="269"/>
      <c r="O28" s="4" t="s">
        <v>28</v>
      </c>
      <c r="P28" s="16"/>
      <c r="Q28" s="253">
        <f>((H28*H28)-(M28*M28))*0.785</f>
        <v>0</v>
      </c>
      <c r="R28" s="254"/>
      <c r="S28" s="29" t="s">
        <v>29</v>
      </c>
      <c r="T28" s="16"/>
      <c r="U28" s="16"/>
      <c r="V28" s="16"/>
    </row>
    <row r="29" spans="1:22" ht="6" customHeight="1" x14ac:dyDescent="0.2">
      <c r="A29" s="132"/>
      <c r="B29" s="143"/>
      <c r="C29" s="143"/>
      <c r="D29" s="138"/>
      <c r="E29" s="138"/>
      <c r="F29" s="138"/>
      <c r="G29" s="138"/>
      <c r="H29" s="144"/>
      <c r="I29" s="144"/>
      <c r="J29" s="143"/>
      <c r="K29" s="4"/>
      <c r="L29" s="6"/>
      <c r="M29" s="7"/>
      <c r="N29" s="7"/>
      <c r="O29" s="4"/>
      <c r="P29" s="16"/>
      <c r="Q29" s="30"/>
      <c r="R29" s="30"/>
      <c r="S29" s="31"/>
      <c r="T29" s="16"/>
      <c r="U29" s="16"/>
      <c r="V29" s="16"/>
    </row>
    <row r="30" spans="1:22" ht="12.75" customHeight="1" thickBot="1" x14ac:dyDescent="0.25">
      <c r="A30" s="132"/>
      <c r="B30" s="142" t="s">
        <v>30</v>
      </c>
      <c r="C30" s="142"/>
      <c r="D30" s="142" t="s">
        <v>80</v>
      </c>
      <c r="E30" s="143"/>
      <c r="F30" s="143"/>
      <c r="G30" s="143"/>
      <c r="H30" s="143"/>
      <c r="I30" s="143"/>
      <c r="J30" s="143"/>
      <c r="K30" s="4"/>
      <c r="L30" s="4"/>
      <c r="M30" s="4"/>
      <c r="N30" s="16"/>
      <c r="O30" s="16"/>
      <c r="P30" s="16"/>
      <c r="Q30" s="16"/>
      <c r="R30" s="16"/>
      <c r="S30" s="16"/>
      <c r="T30" s="16"/>
      <c r="U30" s="16"/>
      <c r="V30" s="16"/>
    </row>
    <row r="31" spans="1:22" ht="12.75" customHeight="1" thickBot="1" x14ac:dyDescent="0.25">
      <c r="A31" s="132"/>
      <c r="B31" s="143"/>
      <c r="C31" s="143"/>
      <c r="D31" s="298">
        <f>Q28</f>
        <v>0</v>
      </c>
      <c r="E31" s="298"/>
      <c r="F31" s="145" t="s">
        <v>31</v>
      </c>
      <c r="G31" s="138" t="s">
        <v>32</v>
      </c>
      <c r="H31" s="239">
        <f>O13</f>
        <v>0</v>
      </c>
      <c r="I31" s="239"/>
      <c r="J31" s="145" t="s">
        <v>33</v>
      </c>
      <c r="K31" s="5" t="s">
        <v>34</v>
      </c>
      <c r="L31" s="270">
        <f>H31*Q28</f>
        <v>0</v>
      </c>
      <c r="M31" s="271"/>
      <c r="N31" s="222" t="s">
        <v>79</v>
      </c>
      <c r="O31" s="222"/>
      <c r="P31" s="223"/>
      <c r="Q31" s="34" t="str">
        <f>"="</f>
        <v>=</v>
      </c>
      <c r="R31" s="224">
        <f>L31*7.48</f>
        <v>0</v>
      </c>
      <c r="S31" s="225"/>
      <c r="T31" s="226" t="s">
        <v>81</v>
      </c>
      <c r="U31" s="227"/>
      <c r="V31" s="158"/>
    </row>
    <row r="32" spans="1:22" ht="12.75" customHeight="1" x14ac:dyDescent="0.2">
      <c r="A32" s="132"/>
      <c r="B32" s="143"/>
      <c r="C32" s="143"/>
      <c r="D32" s="146"/>
      <c r="E32" s="151" t="s">
        <v>78</v>
      </c>
      <c r="F32" s="145"/>
      <c r="G32" s="138"/>
      <c r="H32" s="147"/>
      <c r="I32" s="147"/>
      <c r="J32" s="145"/>
      <c r="K32" s="5"/>
      <c r="L32" s="30"/>
      <c r="M32" s="30"/>
      <c r="N32" s="32"/>
      <c r="O32" s="32"/>
      <c r="P32" s="16"/>
      <c r="Q32" s="16"/>
      <c r="R32" s="16"/>
      <c r="S32" s="16"/>
      <c r="T32" s="11">
        <f>R31*0.8</f>
        <v>0</v>
      </c>
      <c r="U32" s="8" t="s">
        <v>81</v>
      </c>
      <c r="V32" s="8"/>
    </row>
    <row r="33" spans="1:22" ht="6" customHeight="1" thickBot="1" x14ac:dyDescent="0.25">
      <c r="A33" s="163"/>
      <c r="B33" s="164"/>
      <c r="C33" s="164"/>
      <c r="D33" s="165"/>
      <c r="E33" s="165"/>
      <c r="F33" s="166"/>
      <c r="G33" s="167"/>
      <c r="H33" s="168"/>
      <c r="I33" s="168"/>
      <c r="J33" s="166"/>
      <c r="K33" s="169"/>
      <c r="L33" s="170"/>
      <c r="M33" s="170"/>
      <c r="N33" s="171"/>
      <c r="O33" s="171"/>
      <c r="P33" s="172"/>
      <c r="Q33" s="172"/>
      <c r="R33" s="172"/>
      <c r="S33" s="172"/>
      <c r="T33" s="172"/>
      <c r="U33" s="172"/>
      <c r="V33" s="172"/>
    </row>
    <row r="34" spans="1:22" ht="6" customHeight="1" thickTop="1" x14ac:dyDescent="0.2">
      <c r="A34" s="173"/>
      <c r="B34" s="174"/>
      <c r="C34" s="174"/>
      <c r="D34" s="175"/>
      <c r="E34" s="175"/>
      <c r="F34" s="176"/>
      <c r="G34" s="177"/>
      <c r="H34" s="178"/>
      <c r="I34" s="178"/>
      <c r="J34" s="176"/>
      <c r="K34" s="179"/>
      <c r="L34" s="180"/>
      <c r="M34" s="180"/>
      <c r="N34" s="181"/>
      <c r="O34" s="181"/>
      <c r="P34" s="182"/>
      <c r="Q34" s="182"/>
      <c r="R34" s="182"/>
      <c r="S34" s="182"/>
      <c r="T34" s="182"/>
      <c r="U34" s="182"/>
      <c r="V34" s="182"/>
    </row>
    <row r="35" spans="1:22" ht="12.75" customHeight="1" x14ac:dyDescent="0.2">
      <c r="A35" s="140" t="s">
        <v>92</v>
      </c>
      <c r="B35" s="143"/>
      <c r="C35" s="143"/>
      <c r="D35" s="146"/>
      <c r="E35" s="146"/>
      <c r="F35" s="145"/>
      <c r="G35" s="138"/>
      <c r="H35" s="147"/>
      <c r="I35" s="147"/>
      <c r="J35" s="145"/>
      <c r="K35" s="5"/>
      <c r="L35" s="30"/>
      <c r="M35" s="30"/>
      <c r="N35" s="32"/>
      <c r="O35" s="32"/>
      <c r="P35" s="16"/>
      <c r="Q35" s="16"/>
      <c r="R35" s="16"/>
      <c r="S35" s="129"/>
      <c r="T35" s="129"/>
      <c r="U35" s="129"/>
      <c r="V35" s="129"/>
    </row>
    <row r="36" spans="1:22" ht="12.75" customHeight="1" x14ac:dyDescent="0.2">
      <c r="A36" s="132">
        <v>1</v>
      </c>
      <c r="B36" s="161" t="s">
        <v>93</v>
      </c>
      <c r="C36" s="161"/>
      <c r="D36" s="19"/>
      <c r="E36" s="161"/>
      <c r="F36" s="161"/>
      <c r="G36" s="161"/>
      <c r="H36" s="161"/>
      <c r="I36" s="161"/>
      <c r="J36" s="161"/>
      <c r="K36" s="161"/>
      <c r="L36" s="161"/>
      <c r="M36" s="161"/>
      <c r="N36" s="19"/>
      <c r="O36" s="19"/>
      <c r="P36" s="19"/>
      <c r="Q36" s="19"/>
      <c r="R36" s="19"/>
      <c r="S36" s="129"/>
      <c r="T36" s="129"/>
      <c r="U36" s="129"/>
      <c r="V36" s="129"/>
    </row>
    <row r="37" spans="1:22" ht="12.75" customHeight="1" x14ac:dyDescent="0.2">
      <c r="A37" s="132"/>
      <c r="B37" s="148"/>
      <c r="C37" s="157" t="s">
        <v>83</v>
      </c>
      <c r="D37" s="214"/>
      <c r="E37" s="215"/>
      <c r="F37" s="216"/>
      <c r="G37" s="188">
        <f>(($R$31-($R$31*0.911))*2.6*8.34)/50</f>
        <v>0</v>
      </c>
      <c r="H37" s="189" t="s">
        <v>84</v>
      </c>
      <c r="I37" s="132" t="str">
        <f>"="</f>
        <v>=</v>
      </c>
      <c r="J37" s="132">
        <f>G37*50</f>
        <v>0</v>
      </c>
      <c r="K37" s="155" t="s">
        <v>7</v>
      </c>
      <c r="L37" s="219"/>
      <c r="M37" s="157" t="s">
        <v>87</v>
      </c>
      <c r="N37" s="214"/>
      <c r="O37" s="215"/>
      <c r="P37" s="216"/>
      <c r="Q37" s="188">
        <f>(($R$31-($R$31*0.898))*2.6*8.34)/50</f>
        <v>0</v>
      </c>
      <c r="R37" s="189" t="s">
        <v>84</v>
      </c>
      <c r="S37" s="132" t="str">
        <f t="shared" ref="S37:S39" si="0">"="</f>
        <v>=</v>
      </c>
      <c r="T37" s="132">
        <f>Q37*50</f>
        <v>0</v>
      </c>
      <c r="U37" s="155" t="s">
        <v>7</v>
      </c>
      <c r="V37" s="129"/>
    </row>
    <row r="38" spans="1:22" ht="12.75" customHeight="1" x14ac:dyDescent="0.2">
      <c r="A38" s="132"/>
      <c r="B38" s="148"/>
      <c r="C38" s="157" t="s">
        <v>85</v>
      </c>
      <c r="D38" s="214"/>
      <c r="E38" s="215"/>
      <c r="F38" s="216"/>
      <c r="G38" s="188">
        <f>(($R$31-($R$31*0.906))*2.6*8.34)/50</f>
        <v>0</v>
      </c>
      <c r="H38" s="189" t="s">
        <v>84</v>
      </c>
      <c r="I38" s="132" t="str">
        <f t="shared" ref="I38:I39" si="1">"="</f>
        <v>=</v>
      </c>
      <c r="J38" s="132">
        <f t="shared" ref="J38:J39" si="2">G38*50</f>
        <v>0</v>
      </c>
      <c r="K38" s="155" t="s">
        <v>7</v>
      </c>
      <c r="L38" s="219"/>
      <c r="M38" s="157" t="s">
        <v>86</v>
      </c>
      <c r="N38" s="214"/>
      <c r="O38" s="215"/>
      <c r="P38" s="216"/>
      <c r="Q38" s="188">
        <f>(($R$31-($R$31*0.893))*2.6*8.34)/50</f>
        <v>0</v>
      </c>
      <c r="R38" s="189" t="s">
        <v>84</v>
      </c>
      <c r="S38" s="132" t="str">
        <f t="shared" si="0"/>
        <v>=</v>
      </c>
      <c r="T38" s="132">
        <f t="shared" ref="T38:T39" si="3">Q38*50</f>
        <v>0</v>
      </c>
      <c r="U38" s="155" t="s">
        <v>7</v>
      </c>
      <c r="V38" s="129"/>
    </row>
    <row r="39" spans="1:22" ht="12.75" customHeight="1" x14ac:dyDescent="0.2">
      <c r="A39" s="132"/>
      <c r="B39" s="148"/>
      <c r="C39" s="157" t="s">
        <v>88</v>
      </c>
      <c r="D39" s="214"/>
      <c r="E39" s="215"/>
      <c r="F39" s="216"/>
      <c r="G39" s="188">
        <f>(($R$31-($R$31*0.902))*2.6*8.34)/50</f>
        <v>0</v>
      </c>
      <c r="H39" s="189" t="s">
        <v>84</v>
      </c>
      <c r="I39" s="132" t="str">
        <f t="shared" si="1"/>
        <v>=</v>
      </c>
      <c r="J39" s="132">
        <f t="shared" si="2"/>
        <v>0</v>
      </c>
      <c r="K39" s="155" t="s">
        <v>7</v>
      </c>
      <c r="L39" s="219"/>
      <c r="M39" s="157" t="s">
        <v>89</v>
      </c>
      <c r="N39" s="214"/>
      <c r="O39" s="215"/>
      <c r="P39" s="216"/>
      <c r="Q39" s="188">
        <f>(($R$31-($R$31*0.888))*2.6*8.34)/50</f>
        <v>0</v>
      </c>
      <c r="R39" s="189" t="s">
        <v>84</v>
      </c>
      <c r="S39" s="132" t="str">
        <f t="shared" si="0"/>
        <v>=</v>
      </c>
      <c r="T39" s="132">
        <f t="shared" si="3"/>
        <v>0</v>
      </c>
      <c r="U39" s="155" t="s">
        <v>7</v>
      </c>
      <c r="V39" s="129"/>
    </row>
    <row r="40" spans="1:22" ht="5.85" customHeight="1" x14ac:dyDescent="0.2">
      <c r="A40" s="148"/>
      <c r="B40" s="149"/>
      <c r="C40" s="129"/>
      <c r="D40" s="150"/>
      <c r="E40" s="150"/>
      <c r="F40" s="149"/>
      <c r="G40" s="150"/>
      <c r="H40" s="150"/>
      <c r="I40" s="150"/>
      <c r="J40" s="133"/>
      <c r="K40" s="123"/>
      <c r="L40" s="141"/>
      <c r="M40" s="141"/>
      <c r="N40" s="129"/>
      <c r="O40" s="217"/>
      <c r="P40" s="217"/>
      <c r="Q40" s="217"/>
      <c r="R40" s="217"/>
      <c r="S40" s="217"/>
      <c r="T40" s="217"/>
      <c r="U40" s="217"/>
      <c r="V40" s="217"/>
    </row>
    <row r="41" spans="1:22" ht="12.75" customHeight="1" x14ac:dyDescent="0.2">
      <c r="A41" s="190">
        <v>2</v>
      </c>
      <c r="B41" s="191" t="s">
        <v>94</v>
      </c>
      <c r="C41" s="192"/>
      <c r="D41" s="160"/>
      <c r="E41" s="193"/>
      <c r="F41" s="19"/>
      <c r="G41" s="19"/>
      <c r="H41" s="19"/>
      <c r="I41" s="194"/>
      <c r="J41" s="162"/>
      <c r="K41" s="26"/>
      <c r="L41" s="19"/>
      <c r="M41" s="117"/>
      <c r="N41" s="117"/>
      <c r="O41" s="118"/>
      <c r="P41" s="129"/>
      <c r="Q41" s="129"/>
      <c r="R41" s="129"/>
      <c r="S41" s="129"/>
      <c r="T41" s="129"/>
      <c r="U41" s="129"/>
      <c r="V41" s="129"/>
    </row>
    <row r="42" spans="1:22" ht="12.75" customHeight="1" x14ac:dyDescent="0.2">
      <c r="A42" s="148"/>
      <c r="B42" s="152"/>
      <c r="C42" s="153" t="s">
        <v>95</v>
      </c>
      <c r="D42" s="149"/>
      <c r="E42" s="150"/>
      <c r="G42" s="129"/>
      <c r="H42" s="129"/>
      <c r="I42" s="156"/>
      <c r="J42" s="120"/>
      <c r="K42" s="141"/>
      <c r="L42" s="129"/>
      <c r="M42" s="117"/>
      <c r="N42" s="117"/>
      <c r="O42" s="118"/>
      <c r="P42" s="129"/>
      <c r="Q42" s="129"/>
      <c r="R42" s="129"/>
      <c r="S42" s="129"/>
      <c r="T42" s="129"/>
      <c r="U42" s="129"/>
      <c r="V42" s="129"/>
    </row>
    <row r="43" spans="1:22" ht="12.75" customHeight="1" x14ac:dyDescent="0.2">
      <c r="A43" s="148"/>
      <c r="B43" s="148"/>
      <c r="C43" s="149"/>
      <c r="D43" s="297">
        <f>R31</f>
        <v>0</v>
      </c>
      <c r="E43" s="297"/>
      <c r="F43" s="149" t="s">
        <v>9</v>
      </c>
      <c r="G43" s="150" t="s">
        <v>70</v>
      </c>
      <c r="H43" s="150">
        <v>6</v>
      </c>
      <c r="I43" s="297" t="s">
        <v>71</v>
      </c>
      <c r="J43" s="297"/>
      <c r="K43" s="36" t="str">
        <f>"="</f>
        <v>=</v>
      </c>
      <c r="L43" s="319">
        <f>R31/6</f>
        <v>0</v>
      </c>
      <c r="M43" s="319"/>
      <c r="N43" s="186" t="s">
        <v>46</v>
      </c>
      <c r="O43" s="185"/>
      <c r="P43" s="185"/>
      <c r="Q43" s="186"/>
      <c r="R43" s="187"/>
      <c r="S43" s="115" t="str">
        <f>"="</f>
        <v>=</v>
      </c>
      <c r="T43" s="320">
        <f>L43*50</f>
        <v>0</v>
      </c>
      <c r="U43" s="320"/>
      <c r="V43" s="196" t="s">
        <v>7</v>
      </c>
    </row>
    <row r="44" spans="1:22" ht="12.75" customHeight="1" x14ac:dyDescent="0.2">
      <c r="A44" s="148"/>
      <c r="B44" s="129"/>
      <c r="C44" s="129"/>
      <c r="E44" s="129"/>
      <c r="F44" s="151" t="s">
        <v>77</v>
      </c>
      <c r="H44" s="129"/>
      <c r="I44" s="129"/>
      <c r="M44" s="303">
        <f>T43-(T43*0.2)</f>
        <v>0</v>
      </c>
      <c r="N44" s="303"/>
      <c r="O44" s="133" t="s">
        <v>7</v>
      </c>
      <c r="P44" s="132" t="str">
        <f>"="</f>
        <v>=</v>
      </c>
      <c r="Q44" s="303">
        <f>M44/50</f>
        <v>0</v>
      </c>
      <c r="R44" s="303"/>
      <c r="S44" s="149" t="s">
        <v>8</v>
      </c>
      <c r="T44" s="129"/>
      <c r="U44" s="129"/>
      <c r="V44" s="129"/>
    </row>
    <row r="45" spans="1:22" ht="5.85" customHeight="1" x14ac:dyDescent="0.2">
      <c r="A45" s="148"/>
      <c r="B45" s="129"/>
      <c r="C45" s="129"/>
      <c r="D45" s="129"/>
      <c r="E45" s="129"/>
      <c r="F45" s="129"/>
      <c r="G45" s="129"/>
      <c r="H45" s="129"/>
      <c r="I45" s="129"/>
      <c r="J45" s="129"/>
      <c r="K45" s="129"/>
      <c r="L45" s="129"/>
      <c r="M45" s="129"/>
      <c r="N45" s="129"/>
      <c r="O45" s="129"/>
      <c r="P45" s="129"/>
      <c r="Q45" s="129"/>
      <c r="R45" s="129"/>
      <c r="S45" s="129"/>
      <c r="T45" s="129"/>
      <c r="U45" s="129"/>
      <c r="V45" s="129"/>
    </row>
    <row r="46" spans="1:22" ht="12.75" customHeight="1" x14ac:dyDescent="0.2">
      <c r="A46" s="190">
        <v>3</v>
      </c>
      <c r="B46" s="195" t="s">
        <v>96</v>
      </c>
      <c r="C46" s="19"/>
      <c r="E46" s="121"/>
      <c r="F46" s="121"/>
      <c r="G46" s="121"/>
      <c r="H46" s="121"/>
      <c r="I46" s="121"/>
      <c r="J46" s="121"/>
      <c r="K46" s="119"/>
      <c r="L46" s="121"/>
      <c r="M46" s="120"/>
      <c r="N46" s="122"/>
      <c r="O46" s="123"/>
      <c r="P46" s="184"/>
      <c r="Q46" s="184"/>
      <c r="R46" s="124"/>
      <c r="S46" s="124"/>
      <c r="T46" s="126"/>
      <c r="U46" s="126"/>
      <c r="V46" s="129"/>
    </row>
    <row r="47" spans="1:22" ht="12.75" customHeight="1" x14ac:dyDescent="0.2">
      <c r="A47" s="190"/>
      <c r="B47" s="183"/>
      <c r="C47" s="149" t="s">
        <v>97</v>
      </c>
      <c r="D47" s="129"/>
      <c r="E47" s="121"/>
      <c r="F47" s="121"/>
      <c r="G47" s="121"/>
      <c r="H47" s="121"/>
      <c r="I47" s="121"/>
      <c r="J47" s="121"/>
      <c r="K47" s="119"/>
      <c r="L47" s="121"/>
      <c r="M47" s="120"/>
      <c r="N47" s="122"/>
      <c r="O47" s="123"/>
      <c r="P47" s="184"/>
      <c r="Q47" s="184"/>
      <c r="R47" s="124"/>
      <c r="S47" s="124"/>
      <c r="T47" s="126"/>
      <c r="U47" s="126"/>
      <c r="V47" s="129"/>
    </row>
    <row r="48" spans="1:22" ht="12.75" customHeight="1" x14ac:dyDescent="0.2">
      <c r="A48" s="120"/>
      <c r="B48" s="120"/>
      <c r="C48" s="141"/>
      <c r="D48" s="154">
        <f>O13</f>
        <v>0</v>
      </c>
      <c r="E48" s="133" t="s">
        <v>33</v>
      </c>
      <c r="F48" s="155" t="s">
        <v>32</v>
      </c>
      <c r="G48" s="133">
        <v>2</v>
      </c>
      <c r="H48" s="149" t="s">
        <v>72</v>
      </c>
      <c r="I48" s="132" t="str">
        <f>"="</f>
        <v>=</v>
      </c>
      <c r="J48" s="320">
        <f>D48*2</f>
        <v>0</v>
      </c>
      <c r="K48" s="320"/>
      <c r="L48" s="186" t="s">
        <v>73</v>
      </c>
      <c r="M48" s="185"/>
      <c r="N48" s="3" t="str">
        <f>"="</f>
        <v>=</v>
      </c>
      <c r="O48" s="321">
        <f>J48/50</f>
        <v>0</v>
      </c>
      <c r="P48" s="321"/>
      <c r="Q48" s="186" t="s">
        <v>8</v>
      </c>
      <c r="R48" s="129"/>
      <c r="S48" s="129"/>
      <c r="T48" s="129"/>
      <c r="U48" s="129"/>
      <c r="V48" s="129"/>
    </row>
    <row r="49" spans="1:22" ht="6" customHeight="1" thickBot="1" x14ac:dyDescent="0.25">
      <c r="A49" s="37"/>
      <c r="B49" s="8"/>
      <c r="C49" s="8"/>
      <c r="D49" s="9"/>
      <c r="E49" s="10"/>
      <c r="F49" s="8"/>
      <c r="G49" s="13"/>
      <c r="H49" s="12"/>
      <c r="I49" s="8"/>
      <c r="J49" s="11"/>
      <c r="K49" s="36"/>
      <c r="L49" s="17"/>
      <c r="M49" s="28"/>
      <c r="N49" s="16"/>
      <c r="O49" s="16"/>
      <c r="P49" s="16"/>
      <c r="Q49" s="16"/>
      <c r="R49" s="16"/>
      <c r="S49" s="16"/>
      <c r="T49" s="16"/>
      <c r="U49" s="16"/>
      <c r="V49" s="16"/>
    </row>
    <row r="50" spans="1:22" ht="13.5" thickTop="1" x14ac:dyDescent="0.2">
      <c r="A50" s="301" t="s">
        <v>53</v>
      </c>
      <c r="B50" s="301"/>
      <c r="C50" s="301"/>
      <c r="D50" s="301"/>
      <c r="E50" s="301"/>
      <c r="F50" s="301"/>
      <c r="G50" s="301"/>
      <c r="H50" s="299" t="s">
        <v>48</v>
      </c>
      <c r="I50" s="299"/>
      <c r="J50" s="299"/>
      <c r="K50" s="299"/>
      <c r="L50" s="299"/>
      <c r="M50" s="299"/>
      <c r="N50" s="299"/>
      <c r="O50" s="299"/>
      <c r="P50" s="299"/>
      <c r="Q50" s="299"/>
      <c r="R50" s="299"/>
      <c r="S50" s="299"/>
      <c r="T50" s="299"/>
      <c r="U50" s="299"/>
      <c r="V50" s="299"/>
    </row>
    <row r="51" spans="1:22" ht="12.75" customHeight="1" x14ac:dyDescent="0.2">
      <c r="A51" s="302"/>
      <c r="B51" s="302"/>
      <c r="C51" s="302"/>
      <c r="D51" s="302"/>
      <c r="E51" s="302"/>
      <c r="F51" s="302"/>
      <c r="G51" s="302"/>
      <c r="H51" s="300"/>
      <c r="I51" s="300"/>
      <c r="J51" s="300"/>
      <c r="K51" s="300"/>
      <c r="L51" s="300"/>
      <c r="M51" s="300"/>
      <c r="N51" s="300"/>
      <c r="O51" s="300"/>
      <c r="P51" s="300"/>
      <c r="Q51" s="300"/>
      <c r="R51" s="300"/>
      <c r="S51" s="300"/>
      <c r="T51" s="300"/>
      <c r="U51" s="300"/>
      <c r="V51" s="300"/>
    </row>
    <row r="52" spans="1:22" ht="6" customHeight="1" thickBot="1" x14ac:dyDescent="0.25">
      <c r="A52" s="159"/>
      <c r="B52" s="159"/>
      <c r="C52" s="159"/>
      <c r="D52" s="159"/>
      <c r="E52" s="159"/>
      <c r="F52" s="159"/>
      <c r="G52" s="159"/>
      <c r="H52" s="159"/>
      <c r="I52" s="159"/>
      <c r="J52" s="159"/>
      <c r="K52" s="159"/>
      <c r="L52" s="159"/>
      <c r="M52" s="159"/>
      <c r="N52" s="159"/>
      <c r="O52" s="159"/>
      <c r="P52" s="159"/>
      <c r="Q52" s="159"/>
      <c r="R52" s="159"/>
      <c r="S52" s="159"/>
      <c r="T52" s="159"/>
      <c r="U52" s="159"/>
      <c r="V52" s="159"/>
    </row>
    <row r="53" spans="1:22" ht="12.75" customHeight="1" thickBot="1" x14ac:dyDescent="0.25">
      <c r="A53" s="238" t="s">
        <v>56</v>
      </c>
      <c r="B53" s="238"/>
      <c r="C53" s="238"/>
      <c r="D53" s="238"/>
      <c r="E53" s="238"/>
      <c r="F53" s="238"/>
      <c r="G53" s="184"/>
      <c r="H53" s="228">
        <f>IF(C18="",IF(Q18=0,0,Q18),C18)</f>
        <v>0</v>
      </c>
      <c r="I53" s="228"/>
      <c r="J53" s="130" t="s">
        <v>7</v>
      </c>
      <c r="K53" s="198"/>
      <c r="L53" s="308" t="str">
        <f>"+"</f>
        <v>+</v>
      </c>
      <c r="M53" s="236">
        <f>IF(C22="",IF(S22="",0,S22),C22)</f>
        <v>0</v>
      </c>
      <c r="N53" s="237" t="s">
        <v>9</v>
      </c>
      <c r="O53" s="229" t="str">
        <f>"="</f>
        <v>=</v>
      </c>
      <c r="P53" s="309" t="str">
        <f>IF(H53=0,IF(M53=0,"",""),IF(M53=0,"",SUM(SUM(H53/(2.5*8.34))+M53)))</f>
        <v/>
      </c>
      <c r="Q53" s="310"/>
      <c r="R53" s="306" t="str">
        <f>IF(P53="Need Grout Information","",IF(P53="Need Water Information","",IF(P53="Need Both Water &amp; Grout Information","","GAL")))</f>
        <v>GAL</v>
      </c>
      <c r="S53" s="318" t="str">
        <f>IF(P53="",IF(H53=0,IF(M53=0,"Incomplete Grout and Water Information","Incomplete Grout Information"),IF(M53=0,"Incomplete Water Information","")),"")</f>
        <v>Incomplete Grout and Water Information</v>
      </c>
      <c r="T53" s="313"/>
      <c r="U53" s="313"/>
      <c r="V53" s="313"/>
    </row>
    <row r="54" spans="1:22" ht="12.75" customHeight="1" thickBot="1" x14ac:dyDescent="0.25">
      <c r="A54" s="238"/>
      <c r="B54" s="238"/>
      <c r="C54" s="238"/>
      <c r="D54" s="238"/>
      <c r="E54" s="238"/>
      <c r="F54" s="238"/>
      <c r="G54" s="184"/>
      <c r="H54" s="131" t="s">
        <v>82</v>
      </c>
      <c r="I54" s="125"/>
      <c r="J54" s="133"/>
      <c r="K54" s="133"/>
      <c r="L54" s="308"/>
      <c r="M54" s="236"/>
      <c r="N54" s="237"/>
      <c r="O54" s="229"/>
      <c r="P54" s="311"/>
      <c r="Q54" s="312"/>
      <c r="R54" s="307"/>
      <c r="S54" s="318"/>
      <c r="T54" s="313"/>
      <c r="U54" s="313"/>
      <c r="V54" s="313"/>
    </row>
    <row r="55" spans="1:22" ht="12.75" customHeight="1" x14ac:dyDescent="0.2">
      <c r="A55" s="210" t="str">
        <f>IF(P53="",IF(H53=0,IF(M53=0,"Incomplete Grout and Water Information","Incomplete Grout Information"),IF(M53=0,"Incomplete Water Information","")),"")</f>
        <v>Incomplete Grout and Water Information</v>
      </c>
      <c r="B55" s="218">
        <f>IF(A55="",0,1)</f>
        <v>1</v>
      </c>
      <c r="C55" s="211"/>
      <c r="D55" s="211"/>
      <c r="E55" s="211"/>
      <c r="F55" s="211"/>
      <c r="G55" s="64" t="s">
        <v>49</v>
      </c>
      <c r="H55" s="159"/>
      <c r="I55" s="159"/>
      <c r="J55" s="159"/>
      <c r="K55" s="159"/>
      <c r="L55" s="159"/>
      <c r="M55" s="159"/>
      <c r="N55" s="159"/>
      <c r="O55" s="159"/>
      <c r="P55" s="159"/>
      <c r="Q55" s="64" t="s">
        <v>50</v>
      </c>
      <c r="R55" s="159"/>
      <c r="S55" s="159"/>
      <c r="T55" s="159"/>
      <c r="U55" s="159"/>
      <c r="V55" s="159"/>
    </row>
    <row r="56" spans="1:22" ht="12" customHeight="1" x14ac:dyDescent="0.2">
      <c r="A56" s="252" t="str">
        <f>IF(P53="","",IF(P53&gt;T32,"The grout slurry volume used MEETS the 80% allowable volume variation as per OAC rule 3701-28-10(I)(6).","The grout slurry volume used DOES NOT MEET the 80% allowable volume variation as per OAC rule 3701-28-10(I)(6)."))</f>
        <v/>
      </c>
      <c r="B56" s="252"/>
      <c r="C56" s="252"/>
      <c r="D56" s="252"/>
      <c r="E56" s="252"/>
      <c r="F56" s="252"/>
      <c r="G56" s="252"/>
      <c r="H56" s="252"/>
      <c r="I56" s="252"/>
      <c r="J56" s="252"/>
      <c r="K56" s="252"/>
      <c r="L56" s="252"/>
      <c r="M56" s="252"/>
      <c r="N56" s="252"/>
      <c r="O56" s="252"/>
      <c r="P56" s="252"/>
      <c r="Q56" s="252"/>
      <c r="R56" s="252"/>
      <c r="S56" s="252"/>
      <c r="T56" s="252"/>
      <c r="U56" s="252"/>
      <c r="V56" s="252"/>
    </row>
    <row r="57" spans="1:22" ht="12" customHeight="1" x14ac:dyDescent="0.2">
      <c r="A57" s="252"/>
      <c r="B57" s="252"/>
      <c r="C57" s="252"/>
      <c r="D57" s="252"/>
      <c r="E57" s="252"/>
      <c r="F57" s="252"/>
      <c r="G57" s="252"/>
      <c r="H57" s="252"/>
      <c r="I57" s="252"/>
      <c r="J57" s="252"/>
      <c r="K57" s="252"/>
      <c r="L57" s="252"/>
      <c r="M57" s="252"/>
      <c r="N57" s="252"/>
      <c r="O57" s="252"/>
      <c r="P57" s="252"/>
      <c r="Q57" s="252"/>
      <c r="R57" s="252"/>
      <c r="S57" s="252"/>
      <c r="T57" s="252"/>
      <c r="U57" s="252"/>
      <c r="V57" s="252"/>
    </row>
    <row r="58" spans="1:22" ht="3.75" customHeight="1" x14ac:dyDescent="0.2">
      <c r="A58" s="159"/>
      <c r="B58" s="155"/>
      <c r="C58" s="134"/>
      <c r="D58" s="134"/>
      <c r="E58" s="134"/>
      <c r="F58" s="134"/>
      <c r="G58" s="134"/>
      <c r="H58" s="199"/>
      <c r="I58" s="135"/>
      <c r="J58" s="135"/>
      <c r="K58" s="200"/>
      <c r="L58" s="200"/>
      <c r="M58" s="201"/>
      <c r="N58" s="201"/>
      <c r="O58" s="135"/>
      <c r="P58" s="202"/>
      <c r="Q58" s="202"/>
      <c r="R58" s="202"/>
      <c r="S58" s="202"/>
      <c r="T58" s="202"/>
      <c r="U58" s="155"/>
      <c r="V58" s="155"/>
    </row>
    <row r="59" spans="1:22" ht="9.75" customHeight="1" thickBot="1" x14ac:dyDescent="0.25">
      <c r="A59" s="67" t="s">
        <v>55</v>
      </c>
      <c r="B59" s="203"/>
      <c r="C59" s="15"/>
      <c r="D59" s="203"/>
      <c r="E59" s="14"/>
      <c r="F59" s="203"/>
      <c r="G59" s="116"/>
      <c r="H59" s="230" t="s">
        <v>51</v>
      </c>
      <c r="I59" s="230"/>
      <c r="J59" s="230"/>
      <c r="K59" s="230"/>
      <c r="L59" s="230"/>
      <c r="M59" s="230"/>
      <c r="N59" s="230"/>
      <c r="O59" s="230"/>
      <c r="P59" s="230"/>
      <c r="Q59" s="230"/>
      <c r="R59" s="230"/>
      <c r="S59" s="231" t="s">
        <v>54</v>
      </c>
      <c r="T59" s="231"/>
      <c r="U59" s="14"/>
      <c r="V59" s="203"/>
    </row>
    <row r="60" spans="1:22" ht="9.75" customHeight="1" x14ac:dyDescent="0.2">
      <c r="A60" s="204"/>
      <c r="B60" s="15"/>
      <c r="C60" s="203"/>
      <c r="D60" s="203"/>
      <c r="E60" s="203"/>
      <c r="F60" s="203"/>
      <c r="G60" s="203"/>
      <c r="H60" s="232" t="s">
        <v>74</v>
      </c>
      <c r="I60" s="232"/>
      <c r="J60" s="232"/>
      <c r="K60" s="232"/>
      <c r="L60" s="232"/>
      <c r="M60" s="232"/>
      <c r="N60" s="232"/>
      <c r="O60" s="232"/>
      <c r="P60" s="232"/>
      <c r="Q60" s="232"/>
      <c r="R60" s="232"/>
      <c r="S60" s="231"/>
      <c r="T60" s="231"/>
      <c r="U60" s="203"/>
      <c r="V60" s="205"/>
    </row>
    <row r="61" spans="1:22" ht="6" customHeight="1" thickBot="1" x14ac:dyDescent="0.25">
      <c r="A61" s="79"/>
      <c r="B61" s="159"/>
      <c r="C61" s="155"/>
      <c r="D61" s="155"/>
      <c r="E61" s="155"/>
      <c r="F61" s="155"/>
      <c r="G61" s="159"/>
      <c r="H61" s="159"/>
      <c r="I61" s="159"/>
      <c r="J61" s="159"/>
      <c r="K61" s="159"/>
      <c r="L61" s="159"/>
      <c r="M61" s="159"/>
      <c r="N61" s="159"/>
      <c r="O61" s="159"/>
      <c r="P61" s="155"/>
      <c r="Q61" s="155"/>
      <c r="R61" s="159"/>
      <c r="S61" s="159"/>
      <c r="T61" s="159"/>
      <c r="U61" s="159"/>
      <c r="V61" s="159"/>
    </row>
    <row r="62" spans="1:22" ht="12" customHeight="1" thickBot="1" x14ac:dyDescent="0.25">
      <c r="A62" s="79"/>
      <c r="B62" s="159"/>
      <c r="C62" s="137"/>
      <c r="D62" s="137"/>
      <c r="E62" s="235">
        <f>IF(C18="",IF(Q18=0,0,Q18),C18)</f>
        <v>0</v>
      </c>
      <c r="F62" s="235"/>
      <c r="G62" s="127" t="s">
        <v>7</v>
      </c>
      <c r="H62" s="206"/>
      <c r="I62" s="127"/>
      <c r="J62" s="127"/>
      <c r="K62" s="127"/>
      <c r="L62" s="127"/>
      <c r="M62" s="316" t="str">
        <f>"   x     100"</f>
        <v xml:space="preserve">   x     100</v>
      </c>
      <c r="N62" s="317"/>
      <c r="O62" s="237" t="str">
        <f>"="</f>
        <v>=</v>
      </c>
      <c r="P62" s="314" t="str">
        <f>IF(E62=0,"",IF(SUM(SUM(C63)+SUM(G63*8.34))=0,"",SUM(SUM(E62/(C63+(G63*8.34)))*100)))</f>
        <v/>
      </c>
      <c r="Q62" s="304" t="str">
        <f>IF(P62="Incomplete Information","","%")</f>
        <v>%</v>
      </c>
      <c r="R62" s="155"/>
      <c r="S62" s="313" t="str">
        <f>IF(E62=0,IF(G63=0,"Incomplete Grout and Water Information","Incomplete Grout Information"),IF(G63=0,"Incomplete Water Information",""))</f>
        <v>Incomplete Grout and Water Information</v>
      </c>
      <c r="T62" s="313"/>
      <c r="U62" s="313"/>
      <c r="V62" s="313"/>
    </row>
    <row r="63" spans="1:22" ht="12" customHeight="1" thickBot="1" x14ac:dyDescent="0.25">
      <c r="A63" s="79"/>
      <c r="B63" s="159"/>
      <c r="C63" s="236">
        <f>IF(C18="",IF(Q18=0,0,Q18),C18)</f>
        <v>0</v>
      </c>
      <c r="D63" s="236"/>
      <c r="E63" s="234" t="s">
        <v>75</v>
      </c>
      <c r="F63" s="234"/>
      <c r="G63" s="233">
        <f>IF(C22="",IF(S22="",0,S22),C22)</f>
        <v>0</v>
      </c>
      <c r="H63" s="233"/>
      <c r="I63" s="234" t="s">
        <v>76</v>
      </c>
      <c r="J63" s="234"/>
      <c r="K63" s="136">
        <v>8.34</v>
      </c>
      <c r="L63" s="128" t="s">
        <v>52</v>
      </c>
      <c r="M63" s="317"/>
      <c r="N63" s="317"/>
      <c r="O63" s="237"/>
      <c r="P63" s="315"/>
      <c r="Q63" s="305"/>
      <c r="R63" s="155"/>
      <c r="S63" s="313"/>
      <c r="T63" s="313"/>
      <c r="U63" s="313"/>
      <c r="V63" s="313"/>
    </row>
    <row r="64" spans="1:22" ht="6" customHeight="1" x14ac:dyDescent="0.2">
      <c r="A64" s="79"/>
      <c r="B64" s="159"/>
      <c r="C64" s="50"/>
      <c r="D64" s="159"/>
      <c r="E64" s="159"/>
      <c r="F64" s="50"/>
      <c r="G64" s="50"/>
      <c r="H64" s="50"/>
      <c r="I64" s="50"/>
      <c r="J64" s="50"/>
      <c r="K64" s="50"/>
      <c r="L64" s="50"/>
      <c r="M64" s="50"/>
      <c r="N64" s="207"/>
      <c r="O64" s="207"/>
      <c r="P64" s="207"/>
      <c r="Q64" s="159"/>
      <c r="R64" s="159"/>
      <c r="S64" s="159"/>
      <c r="T64" s="159"/>
      <c r="U64" s="159"/>
      <c r="V64" s="159"/>
    </row>
    <row r="65" spans="1:22" ht="6" customHeight="1" x14ac:dyDescent="0.2">
      <c r="A65" s="221" t="str">
        <f>IF(P62="","",IF(P62&lt;19.5,"The grout slurry volume DOES NOT MEET the minimum solid contents of 20% bentonite as per  OAC rule 3701-28-09(G)(1).","The grout slurry volume MEETS the minimum solid contents of 20% bentonite as per  OAC rule 3701-28-09(G)(1)."))</f>
        <v/>
      </c>
      <c r="B65" s="221"/>
      <c r="C65" s="221"/>
      <c r="D65" s="221"/>
      <c r="E65" s="221"/>
      <c r="F65" s="221"/>
      <c r="G65" s="221"/>
      <c r="H65" s="221"/>
      <c r="I65" s="221"/>
      <c r="J65" s="221"/>
      <c r="K65" s="221"/>
      <c r="L65" s="221"/>
      <c r="M65" s="221"/>
      <c r="N65" s="221"/>
      <c r="O65" s="221"/>
      <c r="P65" s="221"/>
      <c r="Q65" s="221"/>
      <c r="R65" s="221"/>
      <c r="S65" s="221"/>
      <c r="T65" s="221"/>
      <c r="U65" s="221"/>
      <c r="V65" s="221"/>
    </row>
    <row r="66" spans="1:22" ht="12" customHeight="1" x14ac:dyDescent="0.2">
      <c r="A66" s="221"/>
      <c r="B66" s="221"/>
      <c r="C66" s="221"/>
      <c r="D66" s="221"/>
      <c r="E66" s="221"/>
      <c r="F66" s="221"/>
      <c r="G66" s="221"/>
      <c r="H66" s="221"/>
      <c r="I66" s="221"/>
      <c r="J66" s="221"/>
      <c r="K66" s="221"/>
      <c r="L66" s="221"/>
      <c r="M66" s="221"/>
      <c r="N66" s="221"/>
      <c r="O66" s="221"/>
      <c r="P66" s="221"/>
      <c r="Q66" s="221"/>
      <c r="R66" s="221"/>
      <c r="S66" s="221"/>
      <c r="T66" s="221"/>
      <c r="U66" s="221"/>
      <c r="V66" s="221"/>
    </row>
    <row r="67" spans="1:22" s="20" customFormat="1" ht="6" customHeight="1" x14ac:dyDescent="0.2">
      <c r="A67" s="79"/>
      <c r="B67" s="78"/>
      <c r="C67" s="208"/>
      <c r="D67" s="17"/>
      <c r="E67" s="28"/>
      <c r="F67" s="50"/>
      <c r="G67" s="28"/>
      <c r="H67" s="208"/>
      <c r="I67" s="208"/>
      <c r="J67" s="79"/>
      <c r="K67" s="209"/>
      <c r="L67" s="209"/>
      <c r="M67" s="209"/>
      <c r="N67" s="209"/>
      <c r="O67" s="209"/>
      <c r="P67" s="209"/>
      <c r="Q67" s="209"/>
      <c r="R67" s="209"/>
      <c r="S67" s="209"/>
      <c r="T67" s="209"/>
      <c r="U67" s="209"/>
      <c r="V67" s="209"/>
    </row>
    <row r="68" spans="1:22" s="20" customFormat="1" ht="12" customHeight="1" x14ac:dyDescent="0.2">
      <c r="A68" s="251" t="s">
        <v>57</v>
      </c>
      <c r="B68" s="251"/>
      <c r="C68" s="251"/>
      <c r="D68" s="251"/>
      <c r="E68" s="251"/>
      <c r="F68" s="251"/>
      <c r="G68" s="251"/>
      <c r="H68" s="251"/>
      <c r="I68" s="251"/>
      <c r="J68" s="251"/>
      <c r="K68" s="251"/>
      <c r="L68" s="251"/>
      <c r="M68" s="251"/>
      <c r="N68" s="251"/>
      <c r="O68" s="251"/>
      <c r="P68" s="251"/>
      <c r="Q68" s="251"/>
      <c r="R68" s="251"/>
      <c r="S68" s="251"/>
      <c r="T68" s="251"/>
      <c r="U68" s="251"/>
      <c r="V68" s="251"/>
    </row>
    <row r="69" spans="1:22" ht="12" customHeight="1" x14ac:dyDescent="0.2">
      <c r="A69" s="251"/>
      <c r="B69" s="251"/>
      <c r="C69" s="251"/>
      <c r="D69" s="251"/>
      <c r="E69" s="251"/>
      <c r="F69" s="251"/>
      <c r="G69" s="251"/>
      <c r="H69" s="251"/>
      <c r="I69" s="251"/>
      <c r="J69" s="251"/>
      <c r="K69" s="251"/>
      <c r="L69" s="251"/>
      <c r="M69" s="251"/>
      <c r="N69" s="251"/>
      <c r="O69" s="251"/>
      <c r="P69" s="251"/>
      <c r="Q69" s="251"/>
      <c r="R69" s="251"/>
      <c r="S69" s="251"/>
      <c r="T69" s="251"/>
      <c r="U69" s="251"/>
      <c r="V69" s="251"/>
    </row>
    <row r="70" spans="1:22" x14ac:dyDescent="0.2">
      <c r="A70" s="24"/>
      <c r="B70" s="24"/>
      <c r="C70" s="24"/>
      <c r="D70" s="24"/>
      <c r="E70" s="24"/>
      <c r="F70" s="24"/>
      <c r="G70" s="24"/>
      <c r="H70" s="24"/>
      <c r="I70" s="24"/>
      <c r="J70" s="24"/>
      <c r="K70" s="24"/>
      <c r="L70" s="24"/>
      <c r="M70" s="24"/>
      <c r="N70" s="24"/>
      <c r="O70" s="24"/>
      <c r="P70" s="24"/>
      <c r="Q70" s="24"/>
    </row>
    <row r="72" spans="1:22" x14ac:dyDescent="0.2">
      <c r="A72" s="68"/>
      <c r="B72" s="74"/>
      <c r="C72" s="74"/>
      <c r="D72" s="75"/>
      <c r="E72" s="75"/>
      <c r="F72" s="75"/>
      <c r="G72" s="75"/>
      <c r="H72" s="75"/>
      <c r="I72" s="75"/>
      <c r="J72" s="75"/>
      <c r="K72" s="75"/>
      <c r="L72" s="75"/>
      <c r="M72" s="26"/>
      <c r="P72" s="24"/>
      <c r="Q72" s="24"/>
      <c r="R72" s="24"/>
      <c r="S72" s="24"/>
      <c r="T72" s="24"/>
      <c r="U72" s="24"/>
      <c r="V72" s="24"/>
    </row>
    <row r="73" spans="1:22" x14ac:dyDescent="0.2">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
      <c r="A74" s="76"/>
      <c r="B74" s="76"/>
      <c r="C74" s="76"/>
      <c r="D74" s="76"/>
      <c r="E74" s="76"/>
      <c r="F74" s="76"/>
      <c r="G74" s="76"/>
      <c r="H74" s="76"/>
      <c r="I74" s="76"/>
      <c r="J74" s="76"/>
      <c r="K74" s="76"/>
      <c r="L74" s="76"/>
      <c r="M74" s="76"/>
      <c r="N74" s="24"/>
      <c r="O74" s="24"/>
      <c r="P74" s="24"/>
      <c r="Q74" s="24"/>
      <c r="R74" s="24"/>
      <c r="S74" s="24"/>
      <c r="T74" s="24"/>
      <c r="U74" s="24"/>
      <c r="V74" s="24"/>
    </row>
    <row r="75" spans="1:22" x14ac:dyDescent="0.2">
      <c r="A75" s="76"/>
      <c r="B75" s="76"/>
      <c r="C75" s="76"/>
      <c r="D75" s="76"/>
      <c r="E75" s="76"/>
      <c r="F75" s="76"/>
      <c r="G75" s="76"/>
      <c r="H75" s="76"/>
      <c r="I75" s="76"/>
      <c r="J75" s="76"/>
      <c r="K75" s="76"/>
      <c r="L75" s="76"/>
      <c r="M75" s="76"/>
      <c r="N75" s="24"/>
      <c r="O75" s="24"/>
      <c r="P75" s="24"/>
      <c r="Q75" s="26"/>
      <c r="R75" s="26"/>
      <c r="S75" s="26"/>
      <c r="T75" s="24"/>
      <c r="U75" s="24"/>
      <c r="V75" s="24"/>
    </row>
    <row r="76" spans="1:22" x14ac:dyDescent="0.2">
      <c r="A76" s="76"/>
      <c r="B76" s="76"/>
      <c r="C76" s="76"/>
      <c r="D76" s="76"/>
      <c r="E76" s="76"/>
      <c r="F76" s="76"/>
      <c r="G76" s="76"/>
      <c r="H76" s="76"/>
      <c r="I76" s="76"/>
      <c r="J76" s="76"/>
      <c r="K76" s="76"/>
      <c r="L76" s="76"/>
      <c r="M76" s="76"/>
      <c r="N76" s="24"/>
      <c r="O76" s="24"/>
      <c r="P76" s="24"/>
      <c r="Q76" s="26"/>
      <c r="R76" s="26"/>
      <c r="S76" s="26"/>
      <c r="T76" s="24"/>
      <c r="U76" s="24"/>
      <c r="V76" s="24"/>
    </row>
    <row r="77" spans="1:22" x14ac:dyDescent="0.2">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
      <c r="A80" s="24"/>
      <c r="B80" s="24"/>
      <c r="C80" s="24"/>
      <c r="D80" s="24"/>
      <c r="E80" s="24"/>
      <c r="F80" s="24"/>
      <c r="G80" s="24"/>
      <c r="H80" s="24"/>
      <c r="I80" s="24"/>
      <c r="J80" s="24"/>
      <c r="K80" s="24"/>
      <c r="L80" s="24"/>
      <c r="M80" s="24"/>
      <c r="N80" s="24"/>
      <c r="O80" s="24"/>
      <c r="P80" s="24"/>
      <c r="Q80" s="24"/>
      <c r="R80" s="24"/>
      <c r="S80" s="66"/>
      <c r="T80" s="66"/>
      <c r="U80" s="66"/>
      <c r="V80" s="24"/>
    </row>
    <row r="81" spans="1:22" x14ac:dyDescent="0.2">
      <c r="A81" s="65"/>
      <c r="B81" s="33"/>
      <c r="C81" s="33"/>
      <c r="D81" s="66"/>
      <c r="E81" s="66"/>
      <c r="F81" s="66"/>
      <c r="G81" s="66"/>
      <c r="H81" s="66"/>
      <c r="I81" s="66"/>
      <c r="J81" s="66"/>
      <c r="K81" s="66"/>
      <c r="L81" s="66"/>
      <c r="M81" s="24"/>
      <c r="N81" s="24"/>
      <c r="O81" s="24"/>
      <c r="P81" s="24"/>
      <c r="Q81" s="24"/>
      <c r="R81" s="66"/>
      <c r="S81" s="66"/>
      <c r="T81" s="66"/>
      <c r="U81" s="66"/>
      <c r="V81" s="24"/>
    </row>
    <row r="82" spans="1:22" x14ac:dyDescent="0.2">
      <c r="A82" s="68"/>
      <c r="B82" s="66"/>
      <c r="C82" s="66"/>
      <c r="D82" s="66"/>
      <c r="E82" s="66"/>
      <c r="F82" s="66"/>
      <c r="G82" s="66"/>
      <c r="H82" s="66"/>
      <c r="I82" s="66"/>
      <c r="J82" s="66"/>
      <c r="K82" s="66"/>
      <c r="L82" s="66"/>
      <c r="M82" s="24"/>
      <c r="N82" s="24"/>
      <c r="O82" s="24"/>
      <c r="P82" s="24"/>
      <c r="Q82" s="24"/>
      <c r="R82" s="24"/>
      <c r="S82" s="24"/>
      <c r="T82" s="24"/>
      <c r="U82" s="24"/>
      <c r="V82" s="24"/>
    </row>
    <row r="83" spans="1:22" x14ac:dyDescent="0.2">
      <c r="A83" s="68"/>
      <c r="B83" s="66"/>
      <c r="C83" s="66"/>
      <c r="D83" s="70"/>
      <c r="E83" s="70"/>
      <c r="F83" s="70"/>
      <c r="G83" s="70"/>
      <c r="H83" s="70"/>
      <c r="I83" s="70"/>
      <c r="J83" s="70"/>
      <c r="K83" s="70"/>
      <c r="L83" s="70"/>
      <c r="M83" s="24"/>
      <c r="N83" s="24"/>
      <c r="O83" s="24"/>
      <c r="P83" s="24"/>
      <c r="Q83" s="24"/>
      <c r="R83" s="24"/>
      <c r="S83" s="24"/>
      <c r="T83" s="24"/>
      <c r="U83" s="24"/>
      <c r="V83" s="24"/>
    </row>
    <row r="84" spans="1:22" x14ac:dyDescent="0.2">
      <c r="A84" s="68"/>
      <c r="B84" s="69"/>
      <c r="C84" s="69"/>
      <c r="D84" s="24"/>
      <c r="E84" s="24"/>
      <c r="F84" s="24"/>
      <c r="G84" s="24"/>
      <c r="H84" s="24"/>
      <c r="I84" s="24"/>
      <c r="J84" s="24"/>
      <c r="K84" s="24"/>
      <c r="L84" s="24"/>
      <c r="M84" s="24"/>
      <c r="N84" s="24"/>
      <c r="O84" s="24"/>
      <c r="P84" s="24"/>
      <c r="Q84" s="24"/>
      <c r="R84" s="24"/>
      <c r="S84" s="24"/>
      <c r="T84" s="24"/>
      <c r="U84" s="24"/>
      <c r="V84" s="24"/>
    </row>
    <row r="85" spans="1:22" x14ac:dyDescent="0.2">
      <c r="A85" s="68"/>
      <c r="B85" s="69"/>
      <c r="C85" s="69"/>
      <c r="D85" s="24"/>
      <c r="E85" s="24"/>
      <c r="F85" s="24"/>
      <c r="G85" s="24"/>
      <c r="H85" s="24"/>
      <c r="I85" s="24"/>
      <c r="J85" s="24"/>
      <c r="K85" s="24"/>
      <c r="L85" s="24"/>
      <c r="M85" s="24"/>
      <c r="N85" s="24"/>
      <c r="O85" s="24"/>
      <c r="P85" s="24"/>
      <c r="Q85" s="24"/>
      <c r="R85" s="24"/>
      <c r="S85" s="24"/>
      <c r="T85" s="24"/>
      <c r="U85" s="24"/>
      <c r="V85" s="24"/>
    </row>
    <row r="86" spans="1:22" x14ac:dyDescent="0.2">
      <c r="A86" s="68"/>
      <c r="B86" s="69"/>
      <c r="C86" s="69"/>
      <c r="D86" s="26"/>
      <c r="E86" s="24"/>
      <c r="F86" s="26"/>
      <c r="G86" s="26"/>
      <c r="H86" s="21"/>
      <c r="I86" s="21"/>
      <c r="J86" s="21"/>
      <c r="K86" s="21"/>
      <c r="L86" s="21"/>
      <c r="M86" s="26"/>
      <c r="N86" s="24"/>
      <c r="O86" s="24"/>
      <c r="P86" s="24"/>
      <c r="Q86" s="24"/>
      <c r="R86" s="24"/>
      <c r="S86" s="24"/>
      <c r="T86" s="24"/>
      <c r="U86" s="24"/>
      <c r="V86" s="24"/>
    </row>
    <row r="87" spans="1:22" x14ac:dyDescent="0.2">
      <c r="A87" s="65"/>
      <c r="B87" s="69"/>
      <c r="C87" s="69"/>
      <c r="D87" s="24"/>
      <c r="E87" s="24"/>
      <c r="F87" s="24"/>
      <c r="G87" s="21"/>
      <c r="H87" s="21"/>
      <c r="I87" s="21"/>
      <c r="J87" s="66"/>
      <c r="K87" s="71"/>
      <c r="L87" s="72"/>
      <c r="M87" s="73"/>
      <c r="N87" s="24"/>
      <c r="O87" s="24"/>
      <c r="P87" s="24"/>
      <c r="Q87" s="24"/>
      <c r="R87" s="24"/>
      <c r="S87" s="24"/>
      <c r="T87" s="24"/>
      <c r="U87" s="24"/>
      <c r="V87" s="24"/>
    </row>
    <row r="88" spans="1:22" x14ac:dyDescent="0.2">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
      <c r="A96" s="24"/>
      <c r="B96" s="24"/>
      <c r="C96" s="24"/>
      <c r="D96" s="24"/>
      <c r="E96" s="24"/>
      <c r="F96" s="24"/>
      <c r="G96" s="24"/>
      <c r="H96" s="24"/>
      <c r="I96" s="24"/>
      <c r="J96" s="24"/>
      <c r="K96" s="24"/>
      <c r="L96" s="24"/>
      <c r="M96" s="24"/>
      <c r="N96" s="24"/>
      <c r="O96" s="24"/>
      <c r="P96" s="24"/>
      <c r="Q96" s="24"/>
      <c r="R96" s="24"/>
      <c r="S96" s="24"/>
      <c r="T96" s="24"/>
      <c r="U96" s="24"/>
      <c r="V96" s="24"/>
    </row>
  </sheetData>
  <sheetProtection algorithmName="SHA-512" hashValue="APsVuv+wawFGZdb5mYIpl0niUGsZjjT1c+TV3xmIAz7swErXDtmii7POR/f6A+H6nSbpI9wuVbLaJB2+XEw/dA==" saltValue="3Xjw3RADVu5+tz8TSueIBw==" spinCount="100000" sheet="1" objects="1" scenarios="1" selectLockedCells="1"/>
  <mergeCells count="74">
    <mergeCell ref="L43:M43"/>
    <mergeCell ref="T43:U43"/>
    <mergeCell ref="J48:K48"/>
    <mergeCell ref="O48:P48"/>
    <mergeCell ref="M44:N44"/>
    <mergeCell ref="H50:V51"/>
    <mergeCell ref="A50:G51"/>
    <mergeCell ref="Q44:R44"/>
    <mergeCell ref="Q62:Q63"/>
    <mergeCell ref="R53:R54"/>
    <mergeCell ref="L53:L54"/>
    <mergeCell ref="M53:M54"/>
    <mergeCell ref="I63:J63"/>
    <mergeCell ref="P53:Q54"/>
    <mergeCell ref="S62:V63"/>
    <mergeCell ref="P62:P63"/>
    <mergeCell ref="M62:N63"/>
    <mergeCell ref="S53:V54"/>
    <mergeCell ref="D28:E28"/>
    <mergeCell ref="F28:G28"/>
    <mergeCell ref="H28:I28"/>
    <mergeCell ref="D43:E43"/>
    <mergeCell ref="D31:E31"/>
    <mergeCell ref="I43:J43"/>
    <mergeCell ref="R7:T7"/>
    <mergeCell ref="O2:V4"/>
    <mergeCell ref="L2:N3"/>
    <mergeCell ref="T11:U11"/>
    <mergeCell ref="I22:J22"/>
    <mergeCell ref="E4:J4"/>
    <mergeCell ref="Q10:R10"/>
    <mergeCell ref="E8:H8"/>
    <mergeCell ref="E7:L7"/>
    <mergeCell ref="P22:Q22"/>
    <mergeCell ref="E2:J2"/>
    <mergeCell ref="E3:J3"/>
    <mergeCell ref="A68:V69"/>
    <mergeCell ref="N53:N54"/>
    <mergeCell ref="A56:V57"/>
    <mergeCell ref="Q28:R28"/>
    <mergeCell ref="T10:U10"/>
    <mergeCell ref="Q11:R11"/>
    <mergeCell ref="Q13:R13"/>
    <mergeCell ref="E22:F22"/>
    <mergeCell ref="O10:P10"/>
    <mergeCell ref="O11:P11"/>
    <mergeCell ref="O13:P13"/>
    <mergeCell ref="M18:N18"/>
    <mergeCell ref="Q18:R18"/>
    <mergeCell ref="S22:T22"/>
    <mergeCell ref="M28:N28"/>
    <mergeCell ref="L31:M31"/>
    <mergeCell ref="C18:D18"/>
    <mergeCell ref="C22:D22"/>
    <mergeCell ref="U22:V22"/>
    <mergeCell ref="A24:V24"/>
    <mergeCell ref="N22:O22"/>
    <mergeCell ref="G18:H18"/>
    <mergeCell ref="A65:V66"/>
    <mergeCell ref="N31:P31"/>
    <mergeCell ref="R31:S31"/>
    <mergeCell ref="T31:U31"/>
    <mergeCell ref="H53:I53"/>
    <mergeCell ref="O53:O54"/>
    <mergeCell ref="H59:R59"/>
    <mergeCell ref="S59:T60"/>
    <mergeCell ref="H60:R60"/>
    <mergeCell ref="G63:H63"/>
    <mergeCell ref="E63:F63"/>
    <mergeCell ref="E62:F62"/>
    <mergeCell ref="C63:D63"/>
    <mergeCell ref="O62:O63"/>
    <mergeCell ref="A53:F54"/>
    <mergeCell ref="H31:I31"/>
  </mergeCells>
  <phoneticPr fontId="12" type="noConversion"/>
  <conditionalFormatting sqref="P62">
    <cfRule type="expression" dxfId="7" priority="6" stopIfTrue="1">
      <formula>($T$62=1)</formula>
    </cfRule>
  </conditionalFormatting>
  <conditionalFormatting sqref="A65">
    <cfRule type="expression" dxfId="6" priority="3" stopIfTrue="1">
      <formula>$P$62&lt;19.5</formula>
    </cfRule>
    <cfRule type="expression" priority="4" stopIfTrue="1">
      <formula>$P$62&gt;19.5</formula>
    </cfRule>
  </conditionalFormatting>
  <conditionalFormatting sqref="A56">
    <cfRule type="expression" dxfId="5" priority="29" stopIfTrue="1">
      <formula>$P$53&lt;$T$32</formula>
    </cfRule>
  </conditionalFormatting>
  <conditionalFormatting sqref="P53">
    <cfRule type="expression" dxfId="4" priority="31" stopIfTrue="1">
      <formula>($V$53=1)</formula>
    </cfRule>
    <cfRule type="expression" dxfId="3" priority="32" stopIfTrue="1">
      <formula>($V$54=1)</formula>
    </cfRule>
    <cfRule type="expression" dxfId="2" priority="33" stopIfTrue="1">
      <formula>(#REF!=1)</formula>
    </cfRule>
  </conditionalFormatting>
  <conditionalFormatting sqref="S53">
    <cfRule type="expression" dxfId="1" priority="2" stopIfTrue="1">
      <formula>($B$55=1)</formula>
    </cfRule>
  </conditionalFormatting>
  <conditionalFormatting sqref="S62">
    <cfRule type="expression" dxfId="0" priority="1" stopIfTrue="1">
      <formula>($B$55=1)</formula>
    </cfRule>
  </conditionalFormatting>
  <printOptions horizontalCentered="1"/>
  <pageMargins left="0.25" right="0.25" top="0.5" bottom="0.25" header="0.125" footer="0.1"/>
  <pageSetup orientation="portrait" r:id="rId1"/>
  <headerFooter alignWithMargins="0">
    <oddHeader>&amp;C&amp;"Arial,Bold"&amp;12PRIVATE WATER SYSTEMS GROUT CALCULATION WORKSHEET</oddHeader>
    <oddFooter>&amp;L&amp;8ODH Form Revised 02/2012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92"/>
  <sheetViews>
    <sheetView workbookViewId="0">
      <pane xSplit="1" ySplit="5" topLeftCell="B6" activePane="bottomRight" state="frozen"/>
      <selection pane="topRight" activeCell="B1" sqref="B1"/>
      <selection pane="bottomLeft" activeCell="A6" sqref="A6"/>
      <selection pane="bottomRight" activeCell="B6" sqref="A6:XFD6"/>
    </sheetView>
  </sheetViews>
  <sheetFormatPr defaultRowHeight="12.75" x14ac:dyDescent="0.2"/>
  <cols>
    <col min="1" max="1" width="3.28515625" bestFit="1" customWidth="1"/>
    <col min="3" max="3" width="9.140625" style="3"/>
    <col min="4" max="4" width="14.85546875" style="3" bestFit="1" customWidth="1"/>
    <col min="5" max="5" width="3.85546875" customWidth="1"/>
    <col min="8" max="8" width="9.140625" style="3"/>
    <col min="9" max="9" width="3.7109375" customWidth="1"/>
  </cols>
  <sheetData>
    <row r="1" spans="1:14" ht="18" x14ac:dyDescent="0.25">
      <c r="B1" s="329" t="s">
        <v>58</v>
      </c>
      <c r="C1" s="329"/>
      <c r="D1" s="329"/>
      <c r="E1" s="329"/>
      <c r="F1" s="329"/>
      <c r="G1" s="329"/>
      <c r="H1" s="329"/>
      <c r="I1" s="329"/>
      <c r="J1" s="329"/>
      <c r="K1" s="329"/>
      <c r="L1" s="329"/>
    </row>
    <row r="4" spans="1:14" ht="12.75" customHeight="1" thickBot="1" x14ac:dyDescent="0.25">
      <c r="A4" s="19"/>
      <c r="B4" s="333" t="s">
        <v>60</v>
      </c>
      <c r="C4" s="333" t="s">
        <v>61</v>
      </c>
      <c r="D4" s="333" t="s">
        <v>62</v>
      </c>
      <c r="E4" s="19"/>
      <c r="F4" s="330" t="s">
        <v>63</v>
      </c>
      <c r="G4" s="330"/>
      <c r="H4" s="330"/>
      <c r="I4" s="330"/>
      <c r="J4" s="330"/>
      <c r="K4" s="330"/>
      <c r="L4" s="330"/>
    </row>
    <row r="5" spans="1:14" ht="39" customHeight="1" x14ac:dyDescent="0.2">
      <c r="A5" s="82"/>
      <c r="B5" s="333"/>
      <c r="C5" s="333"/>
      <c r="D5" s="333"/>
      <c r="E5" s="19"/>
      <c r="F5" s="331" t="s">
        <v>64</v>
      </c>
      <c r="G5" s="331"/>
      <c r="H5" s="331"/>
      <c r="I5" s="77"/>
      <c r="J5" s="332" t="s">
        <v>69</v>
      </c>
      <c r="K5" s="332"/>
      <c r="L5" s="332"/>
      <c r="M5" s="70"/>
      <c r="N5" s="70"/>
    </row>
    <row r="6" spans="1:14" ht="12.75" customHeight="1" x14ac:dyDescent="0.2">
      <c r="A6" s="322" t="s">
        <v>59</v>
      </c>
      <c r="B6" s="77">
        <v>2</v>
      </c>
      <c r="C6" s="77">
        <v>2.375</v>
      </c>
      <c r="D6" s="77">
        <f>(0.113*2)+C6</f>
        <v>2.601</v>
      </c>
      <c r="E6" s="24"/>
      <c r="F6" s="77">
        <f>ROUND(C6,2)+4</f>
        <v>6.38</v>
      </c>
      <c r="G6" s="77" t="str">
        <f>"-----"</f>
        <v>-----</v>
      </c>
      <c r="H6" s="80">
        <f>F6</f>
        <v>6.38</v>
      </c>
      <c r="I6" s="77"/>
      <c r="J6" s="83">
        <f>ROUND(D6,2)+2</f>
        <v>4.5999999999999996</v>
      </c>
      <c r="K6" s="77" t="str">
        <f t="shared" ref="K6:K13" si="0">"-----"</f>
        <v>-----</v>
      </c>
      <c r="L6" s="80">
        <f>J6</f>
        <v>4.5999999999999996</v>
      </c>
    </row>
    <row r="7" spans="1:14" x14ac:dyDescent="0.2">
      <c r="A7" s="322"/>
      <c r="B7" s="104"/>
      <c r="C7" s="104"/>
      <c r="D7" s="104"/>
      <c r="E7" s="105"/>
      <c r="F7" s="104"/>
      <c r="G7" s="104"/>
      <c r="H7" s="106"/>
      <c r="I7" s="104"/>
      <c r="J7" s="107">
        <f>ROUND(C6,2)+3</f>
        <v>5.38</v>
      </c>
      <c r="K7" s="107" t="str">
        <f t="shared" si="0"/>
        <v>-----</v>
      </c>
      <c r="L7" s="108">
        <f>J7</f>
        <v>5.38</v>
      </c>
    </row>
    <row r="8" spans="1:14" x14ac:dyDescent="0.2">
      <c r="A8" s="322"/>
      <c r="B8" s="77">
        <v>3</v>
      </c>
      <c r="C8" s="77">
        <v>3.5</v>
      </c>
      <c r="D8" s="77">
        <f>(0.167*2)+C8</f>
        <v>3.8340000000000001</v>
      </c>
      <c r="E8" s="19"/>
      <c r="F8" s="83">
        <f t="shared" ref="F8:F26" si="1">ROUND(C8,2)+4</f>
        <v>7.5</v>
      </c>
      <c r="G8" s="83" t="str">
        <f>"-----"</f>
        <v>-----</v>
      </c>
      <c r="H8" s="80">
        <f t="shared" ref="H8:H26" si="2">F8</f>
        <v>7.5</v>
      </c>
      <c r="I8" s="77"/>
      <c r="J8" s="83">
        <f>ROUND(D8,2)+2</f>
        <v>5.83</v>
      </c>
      <c r="K8" s="83" t="str">
        <f t="shared" si="0"/>
        <v>-----</v>
      </c>
      <c r="L8" s="80">
        <f t="shared" ref="L8:L26" si="3">J8</f>
        <v>5.83</v>
      </c>
    </row>
    <row r="9" spans="1:14" x14ac:dyDescent="0.2">
      <c r="A9" s="322"/>
      <c r="B9" s="104"/>
      <c r="C9" s="104"/>
      <c r="D9" s="104"/>
      <c r="E9" s="105"/>
      <c r="F9" s="104"/>
      <c r="G9" s="104"/>
      <c r="H9" s="106"/>
      <c r="I9" s="104"/>
      <c r="J9" s="107">
        <f>ROUND(C8,2)+3</f>
        <v>6.5</v>
      </c>
      <c r="K9" s="107" t="str">
        <f t="shared" si="0"/>
        <v>-----</v>
      </c>
      <c r="L9" s="108">
        <f>J9</f>
        <v>6.5</v>
      </c>
    </row>
    <row r="10" spans="1:14" x14ac:dyDescent="0.2">
      <c r="A10" s="322"/>
      <c r="B10" s="77">
        <v>4</v>
      </c>
      <c r="C10" s="77">
        <v>4.5</v>
      </c>
      <c r="D10" s="77">
        <f>(0.214*2)+C10</f>
        <v>4.9279999999999999</v>
      </c>
      <c r="E10" s="19"/>
      <c r="F10" s="83">
        <f t="shared" si="1"/>
        <v>8.5</v>
      </c>
      <c r="G10" s="83" t="str">
        <f>"-----"</f>
        <v>-----</v>
      </c>
      <c r="H10" s="80">
        <f t="shared" si="2"/>
        <v>8.5</v>
      </c>
      <c r="I10" s="77"/>
      <c r="J10" s="83">
        <f>ROUND(D10,2)+2</f>
        <v>6.93</v>
      </c>
      <c r="K10" s="83" t="str">
        <f t="shared" si="0"/>
        <v>-----</v>
      </c>
      <c r="L10" s="80">
        <f t="shared" si="3"/>
        <v>6.93</v>
      </c>
    </row>
    <row r="11" spans="1:14" x14ac:dyDescent="0.2">
      <c r="A11" s="322"/>
      <c r="B11" s="104"/>
      <c r="C11" s="104"/>
      <c r="D11" s="104"/>
      <c r="E11" s="105"/>
      <c r="F11" s="104"/>
      <c r="G11" s="104"/>
      <c r="H11" s="106"/>
      <c r="I11" s="104"/>
      <c r="J11" s="107">
        <f>ROUND(C10,2)+3</f>
        <v>7.5</v>
      </c>
      <c r="K11" s="107" t="str">
        <f t="shared" si="0"/>
        <v>-----</v>
      </c>
      <c r="L11" s="108">
        <f>J11</f>
        <v>7.5</v>
      </c>
    </row>
    <row r="12" spans="1:14" x14ac:dyDescent="0.2">
      <c r="A12" s="322"/>
      <c r="B12" s="83">
        <v>5</v>
      </c>
      <c r="C12" s="83">
        <v>5.5629999999999997</v>
      </c>
      <c r="D12" s="83">
        <f>C12+0.53</f>
        <v>6.093</v>
      </c>
      <c r="E12" s="19"/>
      <c r="F12" s="83">
        <f t="shared" si="1"/>
        <v>9.5599999999999987</v>
      </c>
      <c r="G12" s="83" t="str">
        <f>"-----"</f>
        <v>-----</v>
      </c>
      <c r="H12" s="80">
        <f t="shared" si="2"/>
        <v>9.5599999999999987</v>
      </c>
      <c r="I12" s="19"/>
      <c r="J12" s="83">
        <f>ROUND(D12,2)+2</f>
        <v>8.09</v>
      </c>
      <c r="K12" s="83" t="str">
        <f t="shared" si="0"/>
        <v>-----</v>
      </c>
      <c r="L12" s="80">
        <f t="shared" si="3"/>
        <v>8.09</v>
      </c>
    </row>
    <row r="13" spans="1:14" x14ac:dyDescent="0.2">
      <c r="A13" s="322"/>
      <c r="B13" s="104"/>
      <c r="C13" s="104"/>
      <c r="D13" s="104"/>
      <c r="E13" s="105"/>
      <c r="F13" s="104"/>
      <c r="G13" s="104"/>
      <c r="H13" s="106"/>
      <c r="I13" s="105"/>
      <c r="J13" s="107">
        <f>ROUND(C12,2)+3</f>
        <v>8.5599999999999987</v>
      </c>
      <c r="K13" s="107" t="str">
        <f t="shared" si="0"/>
        <v>-----</v>
      </c>
      <c r="L13" s="108">
        <f>J13</f>
        <v>8.5599999999999987</v>
      </c>
    </row>
    <row r="14" spans="1:14" x14ac:dyDescent="0.2">
      <c r="A14" s="322"/>
      <c r="B14" s="83">
        <v>6</v>
      </c>
      <c r="C14" s="83">
        <v>6.625</v>
      </c>
      <c r="D14" s="83">
        <f>C14+(0.316*2)</f>
        <v>7.2569999999999997</v>
      </c>
      <c r="E14" s="19"/>
      <c r="F14" s="83">
        <f t="shared" si="1"/>
        <v>10.629999999999999</v>
      </c>
      <c r="G14" s="83" t="str">
        <f t="shared" ref="G14:G26" si="4">"-----"</f>
        <v>-----</v>
      </c>
      <c r="H14" s="80">
        <f t="shared" si="2"/>
        <v>10.629999999999999</v>
      </c>
      <c r="I14" s="19"/>
      <c r="J14" s="83">
        <f>ROUND(D14,2)+2</f>
        <v>9.26</v>
      </c>
      <c r="K14" s="83" t="str">
        <f t="shared" ref="K14:K26" si="5">"-----"</f>
        <v>-----</v>
      </c>
      <c r="L14" s="80">
        <f t="shared" si="3"/>
        <v>9.26</v>
      </c>
    </row>
    <row r="15" spans="1:14" x14ac:dyDescent="0.2">
      <c r="A15" s="322"/>
      <c r="B15" s="104"/>
      <c r="C15" s="104"/>
      <c r="D15" s="104"/>
      <c r="E15" s="105"/>
      <c r="F15" s="104"/>
      <c r="G15" s="104"/>
      <c r="H15" s="106"/>
      <c r="I15" s="105"/>
      <c r="J15" s="107">
        <f>ROUND(C14,2)+3</f>
        <v>9.629999999999999</v>
      </c>
      <c r="K15" s="107" t="str">
        <f>"-----"</f>
        <v>-----</v>
      </c>
      <c r="L15" s="108">
        <f>J15</f>
        <v>9.629999999999999</v>
      </c>
    </row>
    <row r="16" spans="1:14" x14ac:dyDescent="0.2">
      <c r="A16" s="322"/>
      <c r="B16" s="83">
        <v>6.25</v>
      </c>
      <c r="C16" s="83">
        <v>6.9</v>
      </c>
      <c r="D16" s="83">
        <f>C16+(0.329*2)</f>
        <v>7.5580000000000007</v>
      </c>
      <c r="E16" s="19"/>
      <c r="F16" s="83">
        <f t="shared" si="1"/>
        <v>10.9</v>
      </c>
      <c r="G16" s="83" t="str">
        <f t="shared" si="4"/>
        <v>-----</v>
      </c>
      <c r="H16" s="80">
        <f t="shared" si="2"/>
        <v>10.9</v>
      </c>
      <c r="I16" s="19"/>
      <c r="J16" s="83">
        <f>ROUND(D16,2)+2</f>
        <v>9.5599999999999987</v>
      </c>
      <c r="K16" s="83" t="str">
        <f t="shared" si="5"/>
        <v>-----</v>
      </c>
      <c r="L16" s="80">
        <f t="shared" si="3"/>
        <v>9.5599999999999987</v>
      </c>
    </row>
    <row r="17" spans="1:12" x14ac:dyDescent="0.2">
      <c r="A17" s="322"/>
      <c r="B17" s="104"/>
      <c r="C17" s="104"/>
      <c r="D17" s="104"/>
      <c r="E17" s="105"/>
      <c r="F17" s="104"/>
      <c r="G17" s="104"/>
      <c r="H17" s="106"/>
      <c r="I17" s="105"/>
      <c r="J17" s="107">
        <f>ROUND(C16,2)+3</f>
        <v>9.9</v>
      </c>
      <c r="K17" s="107" t="str">
        <f>"-----"</f>
        <v>-----</v>
      </c>
      <c r="L17" s="108">
        <f>J17</f>
        <v>9.9</v>
      </c>
    </row>
    <row r="18" spans="1:12" x14ac:dyDescent="0.2">
      <c r="A18" s="322"/>
      <c r="B18" s="83">
        <v>8</v>
      </c>
      <c r="C18" s="83">
        <v>8.625</v>
      </c>
      <c r="D18" s="83">
        <f>C18+(0.41*2)</f>
        <v>9.4450000000000003</v>
      </c>
      <c r="E18" s="19"/>
      <c r="F18" s="83">
        <f t="shared" si="1"/>
        <v>12.63</v>
      </c>
      <c r="G18" s="83" t="str">
        <f t="shared" si="4"/>
        <v>-----</v>
      </c>
      <c r="H18" s="80">
        <f t="shared" si="2"/>
        <v>12.63</v>
      </c>
      <c r="I18" s="19"/>
      <c r="J18" s="83">
        <f>ROUND(D18,2)+2</f>
        <v>11.45</v>
      </c>
      <c r="K18" s="83" t="str">
        <f t="shared" si="5"/>
        <v>-----</v>
      </c>
      <c r="L18" s="80">
        <f t="shared" si="3"/>
        <v>11.45</v>
      </c>
    </row>
    <row r="19" spans="1:12" x14ac:dyDescent="0.2">
      <c r="A19" s="322"/>
      <c r="B19" s="104"/>
      <c r="C19" s="104"/>
      <c r="D19" s="104"/>
      <c r="E19" s="105"/>
      <c r="F19" s="104"/>
      <c r="G19" s="104"/>
      <c r="H19" s="106"/>
      <c r="I19" s="105"/>
      <c r="J19" s="107">
        <f>ROUND(C18,2)+3</f>
        <v>11.63</v>
      </c>
      <c r="K19" s="107" t="str">
        <f>"-----"</f>
        <v>-----</v>
      </c>
      <c r="L19" s="108">
        <f>J19</f>
        <v>11.63</v>
      </c>
    </row>
    <row r="20" spans="1:12" x14ac:dyDescent="0.2">
      <c r="A20" s="322"/>
      <c r="B20" s="83">
        <v>10</v>
      </c>
      <c r="C20" s="83">
        <v>10.75</v>
      </c>
      <c r="D20" s="83">
        <f>C20+(0.511*2)</f>
        <v>11.772</v>
      </c>
      <c r="E20" s="19"/>
      <c r="F20" s="83">
        <f t="shared" si="1"/>
        <v>14.75</v>
      </c>
      <c r="G20" s="83" t="str">
        <f t="shared" si="4"/>
        <v>-----</v>
      </c>
      <c r="H20" s="80">
        <f t="shared" si="2"/>
        <v>14.75</v>
      </c>
      <c r="I20" s="19"/>
      <c r="J20" s="83">
        <f>ROUND(D20,2)+2</f>
        <v>13.77</v>
      </c>
      <c r="K20" s="83" t="str">
        <f t="shared" si="5"/>
        <v>-----</v>
      </c>
      <c r="L20" s="80">
        <f t="shared" si="3"/>
        <v>13.77</v>
      </c>
    </row>
    <row r="21" spans="1:12" x14ac:dyDescent="0.2">
      <c r="A21" s="322"/>
      <c r="B21" s="104"/>
      <c r="C21" s="104"/>
      <c r="D21" s="104"/>
      <c r="E21" s="105"/>
      <c r="F21" s="104"/>
      <c r="G21" s="104"/>
      <c r="H21" s="106"/>
      <c r="I21" s="105"/>
      <c r="J21" s="107">
        <f>ROUND(C20,2)+3</f>
        <v>13.75</v>
      </c>
      <c r="K21" s="107" t="str">
        <f>"-----"</f>
        <v>-----</v>
      </c>
      <c r="L21" s="108">
        <f>J21</f>
        <v>13.75</v>
      </c>
    </row>
    <row r="22" spans="1:12" x14ac:dyDescent="0.2">
      <c r="A22" s="322"/>
      <c r="B22" s="83">
        <v>12</v>
      </c>
      <c r="C22" s="83">
        <v>12.75</v>
      </c>
      <c r="D22" s="83">
        <f>C22+(0.606*2)</f>
        <v>13.962</v>
      </c>
      <c r="E22" s="19"/>
      <c r="F22" s="83">
        <f t="shared" si="1"/>
        <v>16.75</v>
      </c>
      <c r="G22" s="83" t="str">
        <f t="shared" si="4"/>
        <v>-----</v>
      </c>
      <c r="H22" s="80">
        <f t="shared" si="2"/>
        <v>16.75</v>
      </c>
      <c r="I22" s="19"/>
      <c r="J22" s="83">
        <f>ROUND(D22,2)+2</f>
        <v>15.96</v>
      </c>
      <c r="K22" s="83" t="str">
        <f t="shared" si="5"/>
        <v>-----</v>
      </c>
      <c r="L22" s="80">
        <f t="shared" si="3"/>
        <v>15.96</v>
      </c>
    </row>
    <row r="23" spans="1:12" x14ac:dyDescent="0.2">
      <c r="A23" s="322"/>
      <c r="B23" s="104"/>
      <c r="C23" s="104"/>
      <c r="D23" s="104"/>
      <c r="E23" s="105"/>
      <c r="F23" s="104"/>
      <c r="G23" s="104"/>
      <c r="H23" s="106"/>
      <c r="I23" s="105"/>
      <c r="J23" s="107">
        <f>ROUND(C22,2)+3</f>
        <v>15.75</v>
      </c>
      <c r="K23" s="107" t="str">
        <f>"-----"</f>
        <v>-----</v>
      </c>
      <c r="L23" s="108">
        <f>J23</f>
        <v>15.75</v>
      </c>
    </row>
    <row r="24" spans="1:12" x14ac:dyDescent="0.2">
      <c r="A24" s="322"/>
      <c r="B24" s="83">
        <v>14</v>
      </c>
      <c r="C24" s="83">
        <v>14</v>
      </c>
      <c r="D24" s="83">
        <f>C24+(0.667*2)</f>
        <v>15.334</v>
      </c>
      <c r="E24" s="19"/>
      <c r="F24" s="83">
        <f t="shared" si="1"/>
        <v>18</v>
      </c>
      <c r="G24" s="83" t="str">
        <f t="shared" si="4"/>
        <v>-----</v>
      </c>
      <c r="H24" s="80">
        <f t="shared" si="2"/>
        <v>18</v>
      </c>
      <c r="I24" s="19"/>
      <c r="J24" s="83">
        <f>ROUND(D24,2)+2</f>
        <v>17.329999999999998</v>
      </c>
      <c r="K24" s="83" t="str">
        <f t="shared" si="5"/>
        <v>-----</v>
      </c>
      <c r="L24" s="80">
        <f t="shared" si="3"/>
        <v>17.329999999999998</v>
      </c>
    </row>
    <row r="25" spans="1:12" x14ac:dyDescent="0.2">
      <c r="A25" s="322"/>
      <c r="B25" s="104"/>
      <c r="C25" s="104"/>
      <c r="D25" s="104"/>
      <c r="E25" s="105"/>
      <c r="F25" s="104"/>
      <c r="G25" s="104"/>
      <c r="H25" s="106"/>
      <c r="I25" s="105"/>
      <c r="J25" s="107">
        <f>ROUND(C24,2)+3</f>
        <v>17</v>
      </c>
      <c r="K25" s="107" t="str">
        <f>"-----"</f>
        <v>-----</v>
      </c>
      <c r="L25" s="108">
        <f>J25</f>
        <v>17</v>
      </c>
    </row>
    <row r="26" spans="1:12" x14ac:dyDescent="0.2">
      <c r="A26" s="322"/>
      <c r="B26" s="83">
        <v>16</v>
      </c>
      <c r="C26" s="83">
        <v>16</v>
      </c>
      <c r="D26" s="83">
        <f>C26+(0.667*2)</f>
        <v>17.334</v>
      </c>
      <c r="E26" s="19"/>
      <c r="F26" s="83">
        <f t="shared" si="1"/>
        <v>20</v>
      </c>
      <c r="G26" s="83" t="str">
        <f t="shared" si="4"/>
        <v>-----</v>
      </c>
      <c r="H26" s="80">
        <f t="shared" si="2"/>
        <v>20</v>
      </c>
      <c r="I26" s="19"/>
      <c r="J26" s="83">
        <f>ROUND(D26,2)+2</f>
        <v>19.329999999999998</v>
      </c>
      <c r="K26" s="83" t="str">
        <f t="shared" si="5"/>
        <v>-----</v>
      </c>
      <c r="L26" s="80">
        <f t="shared" si="3"/>
        <v>19.329999999999998</v>
      </c>
    </row>
    <row r="27" spans="1:12" ht="13.5" thickBot="1" x14ac:dyDescent="0.25">
      <c r="A27" s="323"/>
      <c r="B27" s="83"/>
      <c r="C27" s="83"/>
      <c r="D27" s="83"/>
      <c r="E27" s="19"/>
      <c r="F27" s="83"/>
      <c r="G27" s="83"/>
      <c r="H27" s="80"/>
      <c r="I27" s="19"/>
      <c r="J27" s="114">
        <f>ROUND(C26,2)+3</f>
        <v>19</v>
      </c>
      <c r="K27" s="102" t="str">
        <f>"-----"</f>
        <v>-----</v>
      </c>
      <c r="L27" s="103">
        <f>J27</f>
        <v>19</v>
      </c>
    </row>
    <row r="28" spans="1:12" ht="12.75" customHeight="1" thickTop="1" x14ac:dyDescent="0.2">
      <c r="A28" s="324" t="s">
        <v>65</v>
      </c>
      <c r="B28" s="81">
        <v>4.5</v>
      </c>
      <c r="C28" s="81">
        <v>4.95</v>
      </c>
      <c r="D28" s="81">
        <f>C28+(0.291*2)</f>
        <v>5.532</v>
      </c>
      <c r="E28" s="84"/>
      <c r="F28" s="81">
        <f>ROUND(C28,2)+4</f>
        <v>8.9499999999999993</v>
      </c>
      <c r="G28" s="81" t="str">
        <f t="shared" ref="G28:G42" si="6">"-----"</f>
        <v>-----</v>
      </c>
      <c r="H28" s="85">
        <f>F28</f>
        <v>8.9499999999999993</v>
      </c>
      <c r="I28" s="84"/>
      <c r="J28" s="81">
        <f>ROUND(D28,2)+2</f>
        <v>7.53</v>
      </c>
      <c r="K28" s="81" t="str">
        <f t="shared" ref="K28:K42" si="7">"-----"</f>
        <v>-----</v>
      </c>
      <c r="L28" s="85">
        <f>J28</f>
        <v>7.53</v>
      </c>
    </row>
    <row r="29" spans="1:12" ht="12.75" customHeight="1" x14ac:dyDescent="0.2">
      <c r="A29" s="325"/>
      <c r="B29" s="104"/>
      <c r="C29" s="104"/>
      <c r="D29" s="104"/>
      <c r="E29" s="105"/>
      <c r="F29" s="104"/>
      <c r="G29" s="104"/>
      <c r="H29" s="106"/>
      <c r="I29" s="105"/>
      <c r="J29" s="107">
        <f>ROUND(C28,2)+3</f>
        <v>7.95</v>
      </c>
      <c r="K29" s="107" t="str">
        <f>"-----"</f>
        <v>-----</v>
      </c>
      <c r="L29" s="108">
        <f>J29</f>
        <v>7.95</v>
      </c>
    </row>
    <row r="30" spans="1:12" ht="12.75" customHeight="1" x14ac:dyDescent="0.2">
      <c r="A30" s="325"/>
      <c r="B30" s="77">
        <v>5</v>
      </c>
      <c r="C30" s="77">
        <v>5.5629999999999997</v>
      </c>
      <c r="D30" s="77">
        <f>C30+(0.327*2)</f>
        <v>6.2169999999999996</v>
      </c>
      <c r="E30" s="24"/>
      <c r="F30" s="77">
        <f t="shared" ref="F30:F40" si="8">ROUND(C30,2)+4</f>
        <v>9.5599999999999987</v>
      </c>
      <c r="G30" s="77" t="str">
        <f t="shared" si="6"/>
        <v>-----</v>
      </c>
      <c r="H30" s="80">
        <f t="shared" ref="H30:H40" si="9">F30</f>
        <v>9.5599999999999987</v>
      </c>
      <c r="I30" s="24"/>
      <c r="J30" s="77">
        <f>ROUND(D30,2)+2</f>
        <v>8.2199999999999989</v>
      </c>
      <c r="K30" s="77" t="str">
        <f t="shared" si="7"/>
        <v>-----</v>
      </c>
      <c r="L30" s="80">
        <f t="shared" ref="L30:L40" si="10">J30</f>
        <v>8.2199999999999989</v>
      </c>
    </row>
    <row r="31" spans="1:12" ht="12.75" customHeight="1" x14ac:dyDescent="0.2">
      <c r="A31" s="325"/>
      <c r="B31" s="104"/>
      <c r="C31" s="104"/>
      <c r="D31" s="104"/>
      <c r="E31" s="105"/>
      <c r="F31" s="104"/>
      <c r="G31" s="104"/>
      <c r="H31" s="106"/>
      <c r="I31" s="105"/>
      <c r="J31" s="107">
        <f>ROUND(C30,2)+3</f>
        <v>8.5599999999999987</v>
      </c>
      <c r="K31" s="107" t="str">
        <f>"-----"</f>
        <v>-----</v>
      </c>
      <c r="L31" s="108">
        <f>J31</f>
        <v>8.5599999999999987</v>
      </c>
    </row>
    <row r="32" spans="1:12" x14ac:dyDescent="0.2">
      <c r="A32" s="325"/>
      <c r="B32" s="83">
        <v>6</v>
      </c>
      <c r="C32" s="83">
        <v>6.625</v>
      </c>
      <c r="D32" s="83">
        <f>C32+(0.39*2)</f>
        <v>7.4050000000000002</v>
      </c>
      <c r="E32" s="19"/>
      <c r="F32" s="77">
        <f t="shared" si="8"/>
        <v>10.629999999999999</v>
      </c>
      <c r="G32" s="77" t="str">
        <f t="shared" si="6"/>
        <v>-----</v>
      </c>
      <c r="H32" s="80">
        <f t="shared" si="9"/>
        <v>10.629999999999999</v>
      </c>
      <c r="I32" s="24"/>
      <c r="J32" s="77">
        <f>ROUND(D32,2)+2</f>
        <v>9.41</v>
      </c>
      <c r="K32" s="77" t="str">
        <f t="shared" si="7"/>
        <v>-----</v>
      </c>
      <c r="L32" s="80">
        <f t="shared" si="10"/>
        <v>9.41</v>
      </c>
    </row>
    <row r="33" spans="1:12" x14ac:dyDescent="0.2">
      <c r="A33" s="325"/>
      <c r="B33" s="104"/>
      <c r="C33" s="104"/>
      <c r="D33" s="104"/>
      <c r="E33" s="105"/>
      <c r="F33" s="104"/>
      <c r="G33" s="104"/>
      <c r="H33" s="106"/>
      <c r="I33" s="105"/>
      <c r="J33" s="107">
        <f>ROUND(C32,2)+3</f>
        <v>9.629999999999999</v>
      </c>
      <c r="K33" s="107" t="str">
        <f>"-----"</f>
        <v>-----</v>
      </c>
      <c r="L33" s="108">
        <f>J33</f>
        <v>9.629999999999999</v>
      </c>
    </row>
    <row r="34" spans="1:12" x14ac:dyDescent="0.2">
      <c r="A34" s="325"/>
      <c r="B34" s="83">
        <v>6.25</v>
      </c>
      <c r="C34" s="83">
        <v>6.9</v>
      </c>
      <c r="D34" s="83">
        <f>C34+(0.406*2)</f>
        <v>7.7120000000000006</v>
      </c>
      <c r="E34" s="19"/>
      <c r="F34" s="77">
        <f t="shared" si="8"/>
        <v>10.9</v>
      </c>
      <c r="G34" s="77" t="str">
        <f t="shared" si="6"/>
        <v>-----</v>
      </c>
      <c r="H34" s="80">
        <f t="shared" si="9"/>
        <v>10.9</v>
      </c>
      <c r="I34" s="24"/>
      <c r="J34" s="77">
        <f>ROUND(D34,2)+2</f>
        <v>9.7100000000000009</v>
      </c>
      <c r="K34" s="77" t="str">
        <f t="shared" si="7"/>
        <v>-----</v>
      </c>
      <c r="L34" s="80">
        <f t="shared" si="10"/>
        <v>9.7100000000000009</v>
      </c>
    </row>
    <row r="35" spans="1:12" x14ac:dyDescent="0.2">
      <c r="A35" s="325"/>
      <c r="B35" s="104"/>
      <c r="C35" s="104"/>
      <c r="D35" s="104"/>
      <c r="E35" s="105"/>
      <c r="F35" s="104"/>
      <c r="G35" s="104"/>
      <c r="H35" s="106"/>
      <c r="I35" s="105"/>
      <c r="J35" s="107">
        <f>ROUND(C34,2)+3</f>
        <v>9.9</v>
      </c>
      <c r="K35" s="107" t="str">
        <f>"-----"</f>
        <v>-----</v>
      </c>
      <c r="L35" s="108">
        <f>J35</f>
        <v>9.9</v>
      </c>
    </row>
    <row r="36" spans="1:12" x14ac:dyDescent="0.2">
      <c r="A36" s="325"/>
      <c r="B36" s="83">
        <v>8</v>
      </c>
      <c r="C36" s="83">
        <v>8.625</v>
      </c>
      <c r="D36" s="83">
        <f>C36+(0.508*2)</f>
        <v>9.641</v>
      </c>
      <c r="E36" s="19"/>
      <c r="F36" s="77">
        <f t="shared" si="8"/>
        <v>12.63</v>
      </c>
      <c r="G36" s="77" t="str">
        <f t="shared" si="6"/>
        <v>-----</v>
      </c>
      <c r="H36" s="80">
        <f t="shared" si="9"/>
        <v>12.63</v>
      </c>
      <c r="I36" s="24"/>
      <c r="J36" s="77">
        <f>ROUND(D36,2)+2</f>
        <v>11.64</v>
      </c>
      <c r="K36" s="77" t="str">
        <f t="shared" si="7"/>
        <v>-----</v>
      </c>
      <c r="L36" s="80">
        <f t="shared" si="10"/>
        <v>11.64</v>
      </c>
    </row>
    <row r="37" spans="1:12" x14ac:dyDescent="0.2">
      <c r="A37" s="325"/>
      <c r="B37" s="104"/>
      <c r="C37" s="104"/>
      <c r="D37" s="104"/>
      <c r="E37" s="105"/>
      <c r="F37" s="104"/>
      <c r="G37" s="104"/>
      <c r="H37" s="106"/>
      <c r="I37" s="105"/>
      <c r="J37" s="107">
        <f>ROUND(C36,2)+3</f>
        <v>11.63</v>
      </c>
      <c r="K37" s="107" t="str">
        <f>"-----"</f>
        <v>-----</v>
      </c>
      <c r="L37" s="108">
        <f>J37</f>
        <v>11.63</v>
      </c>
    </row>
    <row r="38" spans="1:12" x14ac:dyDescent="0.2">
      <c r="A38" s="325"/>
      <c r="B38" s="83">
        <v>10</v>
      </c>
      <c r="C38" s="83">
        <v>10.75</v>
      </c>
      <c r="D38" s="83">
        <f>C38+(0.632*2)</f>
        <v>12.013999999999999</v>
      </c>
      <c r="E38" s="19"/>
      <c r="F38" s="77">
        <f t="shared" si="8"/>
        <v>14.75</v>
      </c>
      <c r="G38" s="77" t="str">
        <f t="shared" si="6"/>
        <v>-----</v>
      </c>
      <c r="H38" s="80">
        <f t="shared" si="9"/>
        <v>14.75</v>
      </c>
      <c r="I38" s="24"/>
      <c r="J38" s="77">
        <f>ROUND(D38,2)+2</f>
        <v>14.01</v>
      </c>
      <c r="K38" s="77" t="str">
        <f t="shared" si="7"/>
        <v>-----</v>
      </c>
      <c r="L38" s="80">
        <f t="shared" si="10"/>
        <v>14.01</v>
      </c>
    </row>
    <row r="39" spans="1:12" x14ac:dyDescent="0.2">
      <c r="A39" s="325"/>
      <c r="B39" s="104"/>
      <c r="C39" s="104"/>
      <c r="D39" s="104"/>
      <c r="E39" s="105"/>
      <c r="F39" s="104"/>
      <c r="G39" s="104"/>
      <c r="H39" s="106"/>
      <c r="I39" s="105"/>
      <c r="J39" s="107">
        <f>ROUND(C38,2)+3</f>
        <v>13.75</v>
      </c>
      <c r="K39" s="107" t="str">
        <f>"-----"</f>
        <v>-----</v>
      </c>
      <c r="L39" s="108">
        <f>J39</f>
        <v>13.75</v>
      </c>
    </row>
    <row r="40" spans="1:12" x14ac:dyDescent="0.2">
      <c r="A40" s="325"/>
      <c r="B40" s="77">
        <v>12</v>
      </c>
      <c r="C40" s="77">
        <v>12.75</v>
      </c>
      <c r="D40" s="77">
        <f>C40+(0.75*2)</f>
        <v>14.25</v>
      </c>
      <c r="E40" s="24"/>
      <c r="F40" s="77">
        <f t="shared" si="8"/>
        <v>16.75</v>
      </c>
      <c r="G40" s="77" t="str">
        <f t="shared" si="6"/>
        <v>-----</v>
      </c>
      <c r="H40" s="80">
        <f t="shared" si="9"/>
        <v>16.75</v>
      </c>
      <c r="I40" s="24"/>
      <c r="J40" s="77">
        <f>ROUND(D40,2)+2</f>
        <v>16.25</v>
      </c>
      <c r="K40" s="77" t="str">
        <f t="shared" si="7"/>
        <v>-----</v>
      </c>
      <c r="L40" s="80">
        <f t="shared" si="10"/>
        <v>16.25</v>
      </c>
    </row>
    <row r="41" spans="1:12" ht="13.5" thickBot="1" x14ac:dyDescent="0.25">
      <c r="A41" s="323"/>
      <c r="B41" s="86"/>
      <c r="C41" s="86"/>
      <c r="D41" s="86"/>
      <c r="E41" s="87"/>
      <c r="F41" s="86"/>
      <c r="G41" s="86"/>
      <c r="H41" s="88"/>
      <c r="I41" s="87"/>
      <c r="J41" s="114">
        <f>ROUND(C40,2)+3</f>
        <v>15.75</v>
      </c>
      <c r="K41" s="102" t="str">
        <f>"-----"</f>
        <v>-----</v>
      </c>
      <c r="L41" s="103">
        <f>J41</f>
        <v>15.75</v>
      </c>
    </row>
    <row r="42" spans="1:12" ht="13.5" customHeight="1" thickTop="1" x14ac:dyDescent="0.2">
      <c r="A42" s="326" t="s">
        <v>66</v>
      </c>
      <c r="B42" s="81">
        <v>5</v>
      </c>
      <c r="C42" s="81">
        <v>5.5629999999999997</v>
      </c>
      <c r="D42" s="81">
        <f>C42+(0.188*2)</f>
        <v>5.9390000000000001</v>
      </c>
      <c r="E42" s="84"/>
      <c r="F42" s="81">
        <f>ROUND(C42,2)+4</f>
        <v>9.5599999999999987</v>
      </c>
      <c r="G42" s="81" t="str">
        <f t="shared" si="6"/>
        <v>-----</v>
      </c>
      <c r="H42" s="85">
        <f>F42</f>
        <v>9.5599999999999987</v>
      </c>
      <c r="I42" s="84"/>
      <c r="J42" s="81">
        <f>ROUND(D42,2)+2</f>
        <v>7.94</v>
      </c>
      <c r="K42" s="81" t="str">
        <f t="shared" si="7"/>
        <v>-----</v>
      </c>
      <c r="L42" s="85">
        <f>J42</f>
        <v>7.94</v>
      </c>
    </row>
    <row r="43" spans="1:12" x14ac:dyDescent="0.2">
      <c r="A43" s="327"/>
      <c r="B43" s="104"/>
      <c r="C43" s="104"/>
      <c r="D43" s="104"/>
      <c r="E43" s="105"/>
      <c r="F43" s="104"/>
      <c r="G43" s="104"/>
      <c r="H43" s="106"/>
      <c r="I43" s="105"/>
      <c r="J43" s="107">
        <f>ROUND(C42,2)+3</f>
        <v>8.5599999999999987</v>
      </c>
      <c r="K43" s="107" t="str">
        <f>"-----"</f>
        <v>-----</v>
      </c>
      <c r="L43" s="108">
        <f>J43</f>
        <v>8.5599999999999987</v>
      </c>
    </row>
    <row r="44" spans="1:12" x14ac:dyDescent="0.2">
      <c r="A44" s="327"/>
      <c r="B44" s="77">
        <v>6</v>
      </c>
      <c r="C44" s="77">
        <v>6.625</v>
      </c>
      <c r="D44" s="77">
        <f>C44+(0.188*2)</f>
        <v>7.0010000000000003</v>
      </c>
      <c r="E44" s="24"/>
      <c r="F44" s="77">
        <f t="shared" ref="F44:F58" si="11">ROUND(C44,2)+4</f>
        <v>10.629999999999999</v>
      </c>
      <c r="G44" s="77" t="str">
        <f t="shared" ref="G44:G86" si="12">"-----"</f>
        <v>-----</v>
      </c>
      <c r="H44" s="80">
        <f t="shared" ref="H44:H84" si="13">F44</f>
        <v>10.629999999999999</v>
      </c>
      <c r="I44" s="24"/>
      <c r="J44" s="77">
        <f>ROUND(D44,2)+2</f>
        <v>9</v>
      </c>
      <c r="K44" s="77" t="str">
        <f t="shared" ref="K44:K86" si="14">"-----"</f>
        <v>-----</v>
      </c>
      <c r="L44" s="80">
        <f t="shared" ref="L44:L60" si="15">J44</f>
        <v>9</v>
      </c>
    </row>
    <row r="45" spans="1:12" x14ac:dyDescent="0.2">
      <c r="A45" s="327"/>
      <c r="B45" s="104"/>
      <c r="C45" s="104"/>
      <c r="D45" s="104"/>
      <c r="E45" s="105"/>
      <c r="F45" s="104"/>
      <c r="G45" s="104"/>
      <c r="H45" s="106"/>
      <c r="I45" s="105"/>
      <c r="J45" s="107">
        <f>ROUND(C44,2)+3</f>
        <v>9.629999999999999</v>
      </c>
      <c r="K45" s="107" t="str">
        <f>"-----"</f>
        <v>-----</v>
      </c>
      <c r="L45" s="108">
        <f>J45</f>
        <v>9.629999999999999</v>
      </c>
    </row>
    <row r="46" spans="1:12" x14ac:dyDescent="0.2">
      <c r="A46" s="327"/>
      <c r="B46" s="77">
        <v>8</v>
      </c>
      <c r="C46" s="77">
        <v>8.625</v>
      </c>
      <c r="D46" s="77">
        <f>C46+(0.188*2)</f>
        <v>9.0009999999999994</v>
      </c>
      <c r="E46" s="24"/>
      <c r="F46" s="77">
        <f t="shared" si="11"/>
        <v>12.63</v>
      </c>
      <c r="G46" s="77" t="str">
        <f t="shared" si="12"/>
        <v>-----</v>
      </c>
      <c r="H46" s="80">
        <f t="shared" si="13"/>
        <v>12.63</v>
      </c>
      <c r="I46" s="24"/>
      <c r="J46" s="77">
        <f>ROUND(D46,2)+2</f>
        <v>11</v>
      </c>
      <c r="K46" s="77" t="str">
        <f t="shared" si="14"/>
        <v>-----</v>
      </c>
      <c r="L46" s="80">
        <f t="shared" si="15"/>
        <v>11</v>
      </c>
    </row>
    <row r="47" spans="1:12" x14ac:dyDescent="0.2">
      <c r="A47" s="327"/>
      <c r="B47" s="104"/>
      <c r="C47" s="104"/>
      <c r="D47" s="104"/>
      <c r="E47" s="105"/>
      <c r="F47" s="104"/>
      <c r="G47" s="104"/>
      <c r="H47" s="106"/>
      <c r="I47" s="105"/>
      <c r="J47" s="107">
        <f>ROUND(C46,2)+3</f>
        <v>11.63</v>
      </c>
      <c r="K47" s="107" t="str">
        <f>"-----"</f>
        <v>-----</v>
      </c>
      <c r="L47" s="108">
        <f>J47</f>
        <v>11.63</v>
      </c>
    </row>
    <row r="48" spans="1:12" x14ac:dyDescent="0.2">
      <c r="A48" s="327"/>
      <c r="B48" s="77">
        <v>10</v>
      </c>
      <c r="C48" s="77">
        <v>10.75</v>
      </c>
      <c r="D48" s="77">
        <f>C48+(0.188*2)</f>
        <v>11.125999999999999</v>
      </c>
      <c r="E48" s="24"/>
      <c r="F48" s="77">
        <f t="shared" si="11"/>
        <v>14.75</v>
      </c>
      <c r="G48" s="77" t="str">
        <f t="shared" si="12"/>
        <v>-----</v>
      </c>
      <c r="H48" s="80">
        <f t="shared" si="13"/>
        <v>14.75</v>
      </c>
      <c r="I48" s="24"/>
      <c r="J48" s="77">
        <f>ROUND(D48,2)+2</f>
        <v>13.13</v>
      </c>
      <c r="K48" s="77" t="str">
        <f t="shared" si="14"/>
        <v>-----</v>
      </c>
      <c r="L48" s="80">
        <f t="shared" si="15"/>
        <v>13.13</v>
      </c>
    </row>
    <row r="49" spans="1:12" x14ac:dyDescent="0.2">
      <c r="A49" s="327"/>
      <c r="B49" s="104"/>
      <c r="C49" s="104"/>
      <c r="D49" s="104"/>
      <c r="E49" s="105"/>
      <c r="F49" s="104"/>
      <c r="G49" s="104"/>
      <c r="H49" s="106"/>
      <c r="I49" s="105"/>
      <c r="J49" s="107">
        <f>ROUND(C48,2)+3</f>
        <v>13.75</v>
      </c>
      <c r="K49" s="107" t="str">
        <f>"-----"</f>
        <v>-----</v>
      </c>
      <c r="L49" s="108">
        <f>J49</f>
        <v>13.75</v>
      </c>
    </row>
    <row r="50" spans="1:12" x14ac:dyDescent="0.2">
      <c r="A50" s="327"/>
      <c r="B50" s="77">
        <v>12</v>
      </c>
      <c r="C50" s="77">
        <v>12.75</v>
      </c>
      <c r="D50" s="77">
        <f>C50+(0.375*2)</f>
        <v>13.5</v>
      </c>
      <c r="E50" s="24"/>
      <c r="F50" s="77">
        <f t="shared" si="11"/>
        <v>16.75</v>
      </c>
      <c r="G50" s="77" t="str">
        <f t="shared" si="12"/>
        <v>-----</v>
      </c>
      <c r="H50" s="80">
        <f t="shared" si="13"/>
        <v>16.75</v>
      </c>
      <c r="I50" s="24"/>
      <c r="J50" s="77">
        <f>ROUND(D50,2)+2</f>
        <v>15.5</v>
      </c>
      <c r="K50" s="77" t="str">
        <f t="shared" si="14"/>
        <v>-----</v>
      </c>
      <c r="L50" s="80">
        <f t="shared" si="15"/>
        <v>15.5</v>
      </c>
    </row>
    <row r="51" spans="1:12" x14ac:dyDescent="0.2">
      <c r="A51" s="327"/>
      <c r="B51" s="104"/>
      <c r="C51" s="104"/>
      <c r="D51" s="104"/>
      <c r="E51" s="105"/>
      <c r="F51" s="104"/>
      <c r="G51" s="104"/>
      <c r="H51" s="106"/>
      <c r="I51" s="105"/>
      <c r="J51" s="107">
        <f>ROUND(C50,2)+3</f>
        <v>15.75</v>
      </c>
      <c r="K51" s="107" t="str">
        <f>"-----"</f>
        <v>-----</v>
      </c>
      <c r="L51" s="108">
        <f>J51</f>
        <v>15.75</v>
      </c>
    </row>
    <row r="52" spans="1:12" x14ac:dyDescent="0.2">
      <c r="A52" s="327"/>
      <c r="B52" s="77">
        <v>14</v>
      </c>
      <c r="C52" s="77">
        <v>14</v>
      </c>
      <c r="D52" s="77">
        <f>C52+(0.375*2)</f>
        <v>14.75</v>
      </c>
      <c r="E52" s="24"/>
      <c r="F52" s="77">
        <f t="shared" si="11"/>
        <v>18</v>
      </c>
      <c r="G52" s="77" t="str">
        <f t="shared" si="12"/>
        <v>-----</v>
      </c>
      <c r="H52" s="80">
        <f t="shared" si="13"/>
        <v>18</v>
      </c>
      <c r="I52" s="24"/>
      <c r="J52" s="77">
        <f>ROUND(D52,2)+2</f>
        <v>16.75</v>
      </c>
      <c r="K52" s="77" t="str">
        <f t="shared" si="14"/>
        <v>-----</v>
      </c>
      <c r="L52" s="80">
        <f t="shared" si="15"/>
        <v>16.75</v>
      </c>
    </row>
    <row r="53" spans="1:12" x14ac:dyDescent="0.2">
      <c r="A53" s="327"/>
      <c r="B53" s="104"/>
      <c r="C53" s="104"/>
      <c r="D53" s="104"/>
      <c r="E53" s="105"/>
      <c r="F53" s="104"/>
      <c r="G53" s="104"/>
      <c r="H53" s="106"/>
      <c r="I53" s="105"/>
      <c r="J53" s="107">
        <f>ROUND(C52,2)+3</f>
        <v>17</v>
      </c>
      <c r="K53" s="107" t="str">
        <f>"-----"</f>
        <v>-----</v>
      </c>
      <c r="L53" s="108">
        <f>J53</f>
        <v>17</v>
      </c>
    </row>
    <row r="54" spans="1:12" x14ac:dyDescent="0.2">
      <c r="A54" s="327"/>
      <c r="B54" s="77">
        <v>16</v>
      </c>
      <c r="C54" s="77">
        <v>16</v>
      </c>
      <c r="D54" s="77">
        <f>C54+(0.375*2)</f>
        <v>16.75</v>
      </c>
      <c r="E54" s="24"/>
      <c r="F54" s="77">
        <f t="shared" si="11"/>
        <v>20</v>
      </c>
      <c r="G54" s="77" t="str">
        <f t="shared" si="12"/>
        <v>-----</v>
      </c>
      <c r="H54" s="80">
        <f t="shared" si="13"/>
        <v>20</v>
      </c>
      <c r="I54" s="24"/>
      <c r="J54" s="77">
        <f>ROUND(D54,2)+2</f>
        <v>18.75</v>
      </c>
      <c r="K54" s="77" t="str">
        <f t="shared" si="14"/>
        <v>-----</v>
      </c>
      <c r="L54" s="80">
        <f t="shared" si="15"/>
        <v>18.75</v>
      </c>
    </row>
    <row r="55" spans="1:12" x14ac:dyDescent="0.2">
      <c r="A55" s="327"/>
      <c r="B55" s="104"/>
      <c r="C55" s="104"/>
      <c r="D55" s="104"/>
      <c r="E55" s="105"/>
      <c r="F55" s="104"/>
      <c r="G55" s="104"/>
      <c r="H55" s="106"/>
      <c r="I55" s="105"/>
      <c r="J55" s="107">
        <f>ROUND(C54,2)+3</f>
        <v>19</v>
      </c>
      <c r="K55" s="107" t="str">
        <f>"-----"</f>
        <v>-----</v>
      </c>
      <c r="L55" s="108">
        <f>J55</f>
        <v>19</v>
      </c>
    </row>
    <row r="56" spans="1:12" x14ac:dyDescent="0.2">
      <c r="A56" s="327"/>
      <c r="B56" s="77">
        <v>18</v>
      </c>
      <c r="C56" s="77">
        <v>18</v>
      </c>
      <c r="D56" s="77">
        <f>C56+(0.375*2)</f>
        <v>18.75</v>
      </c>
      <c r="E56" s="24"/>
      <c r="F56" s="77">
        <f t="shared" si="11"/>
        <v>22</v>
      </c>
      <c r="G56" s="77" t="str">
        <f t="shared" si="12"/>
        <v>-----</v>
      </c>
      <c r="H56" s="80">
        <f t="shared" si="13"/>
        <v>22</v>
      </c>
      <c r="I56" s="24"/>
      <c r="J56" s="77">
        <f>ROUND(D56,2)+2</f>
        <v>20.75</v>
      </c>
      <c r="K56" s="77" t="str">
        <f>"-----"</f>
        <v>-----</v>
      </c>
      <c r="L56" s="80">
        <f t="shared" si="15"/>
        <v>20.75</v>
      </c>
    </row>
    <row r="57" spans="1:12" x14ac:dyDescent="0.2">
      <c r="A57" s="327"/>
      <c r="B57" s="77"/>
      <c r="C57" s="77"/>
      <c r="D57" s="77"/>
      <c r="E57" s="24"/>
      <c r="F57" s="77"/>
      <c r="G57" s="77"/>
      <c r="H57" s="80"/>
      <c r="I57" s="24"/>
      <c r="J57" s="107">
        <f>ROUND(C56,2)+3</f>
        <v>21</v>
      </c>
      <c r="K57" s="102" t="str">
        <f>"-----"</f>
        <v>-----</v>
      </c>
      <c r="L57" s="103">
        <f>J57</f>
        <v>21</v>
      </c>
    </row>
    <row r="58" spans="1:12" x14ac:dyDescent="0.2">
      <c r="A58" s="327"/>
      <c r="B58" s="111">
        <v>20</v>
      </c>
      <c r="C58" s="111">
        <v>20</v>
      </c>
      <c r="D58" s="111">
        <f>C58+(0.375*2)</f>
        <v>20.75</v>
      </c>
      <c r="E58" s="112"/>
      <c r="F58" s="111">
        <f t="shared" si="11"/>
        <v>24</v>
      </c>
      <c r="G58" s="111" t="str">
        <f t="shared" si="12"/>
        <v>-----</v>
      </c>
      <c r="H58" s="113">
        <f t="shared" si="13"/>
        <v>24</v>
      </c>
      <c r="I58" s="112"/>
      <c r="J58" s="77">
        <f>ROUND(D58,2)+2</f>
        <v>22.75</v>
      </c>
      <c r="K58" s="111" t="str">
        <f t="shared" si="14"/>
        <v>-----</v>
      </c>
      <c r="L58" s="113">
        <f t="shared" si="15"/>
        <v>22.75</v>
      </c>
    </row>
    <row r="59" spans="1:12" ht="13.5" thickBot="1" x14ac:dyDescent="0.25">
      <c r="A59" s="328"/>
      <c r="B59" s="86"/>
      <c r="C59" s="86"/>
      <c r="D59" s="86"/>
      <c r="E59" s="87"/>
      <c r="F59" s="86"/>
      <c r="G59" s="86"/>
      <c r="H59" s="88"/>
      <c r="I59" s="87"/>
      <c r="J59" s="109">
        <f>ROUND(C58,2)+3</f>
        <v>23</v>
      </c>
      <c r="K59" s="109" t="str">
        <f>"-----"</f>
        <v>-----</v>
      </c>
      <c r="L59" s="110">
        <f>J59</f>
        <v>23</v>
      </c>
    </row>
    <row r="60" spans="1:12" ht="13.5" customHeight="1" thickTop="1" x14ac:dyDescent="0.2">
      <c r="A60" s="327" t="s">
        <v>67</v>
      </c>
      <c r="B60" s="77">
        <v>2.875</v>
      </c>
      <c r="C60" s="77">
        <v>2.875</v>
      </c>
      <c r="D60" s="77">
        <f>C60+(0.188*2)</f>
        <v>3.2509999999999999</v>
      </c>
      <c r="E60" s="24"/>
      <c r="F60" s="77">
        <f>ROUND(C60,2)+4</f>
        <v>6.88</v>
      </c>
      <c r="G60" s="77" t="str">
        <f t="shared" si="12"/>
        <v>-----</v>
      </c>
      <c r="H60" s="80">
        <f t="shared" si="13"/>
        <v>6.88</v>
      </c>
      <c r="I60" s="24"/>
      <c r="J60" s="77">
        <f>ROUND(D60,2)+2</f>
        <v>5.25</v>
      </c>
      <c r="K60" s="77" t="str">
        <f t="shared" si="14"/>
        <v>-----</v>
      </c>
      <c r="L60" s="80">
        <f t="shared" si="15"/>
        <v>5.25</v>
      </c>
    </row>
    <row r="61" spans="1:12" ht="13.5" customHeight="1" x14ac:dyDescent="0.2">
      <c r="A61" s="327"/>
      <c r="B61" s="104"/>
      <c r="C61" s="104"/>
      <c r="D61" s="104"/>
      <c r="E61" s="105"/>
      <c r="F61" s="104"/>
      <c r="G61" s="104"/>
      <c r="H61" s="106"/>
      <c r="I61" s="105"/>
      <c r="J61" s="107">
        <f>ROUND(C60,2)+3</f>
        <v>5.88</v>
      </c>
      <c r="K61" s="107" t="str">
        <f>"-----"</f>
        <v>-----</v>
      </c>
      <c r="L61" s="108">
        <f>J61</f>
        <v>5.88</v>
      </c>
    </row>
    <row r="62" spans="1:12" x14ac:dyDescent="0.2">
      <c r="A62" s="327"/>
      <c r="B62" s="77">
        <v>3</v>
      </c>
      <c r="C62" s="77">
        <v>3</v>
      </c>
      <c r="D62" s="77">
        <f>C62+(0.188*2)</f>
        <v>3.3759999999999999</v>
      </c>
      <c r="E62" s="24"/>
      <c r="F62" s="77">
        <f>ROUND(C62,2)+4</f>
        <v>7</v>
      </c>
      <c r="G62" s="77" t="str">
        <f t="shared" si="12"/>
        <v>-----</v>
      </c>
      <c r="H62" s="80">
        <f t="shared" si="13"/>
        <v>7</v>
      </c>
      <c r="I62" s="24"/>
      <c r="J62" s="77">
        <f>ROUND(D62,2)+2</f>
        <v>5.38</v>
      </c>
      <c r="K62" s="77" t="str">
        <f t="shared" si="14"/>
        <v>-----</v>
      </c>
      <c r="L62" s="80">
        <f t="shared" ref="L62:L84" si="16">J62</f>
        <v>5.38</v>
      </c>
    </row>
    <row r="63" spans="1:12" x14ac:dyDescent="0.2">
      <c r="A63" s="327"/>
      <c r="B63" s="104"/>
      <c r="C63" s="104"/>
      <c r="D63" s="104"/>
      <c r="E63" s="105"/>
      <c r="F63" s="104"/>
      <c r="G63" s="104"/>
      <c r="H63" s="106"/>
      <c r="I63" s="105"/>
      <c r="J63" s="107">
        <f>ROUND(C62,2)+3</f>
        <v>6</v>
      </c>
      <c r="K63" s="107" t="str">
        <f>"-----"</f>
        <v>-----</v>
      </c>
      <c r="L63" s="108">
        <f>J63</f>
        <v>6</v>
      </c>
    </row>
    <row r="64" spans="1:12" x14ac:dyDescent="0.2">
      <c r="A64" s="327"/>
      <c r="B64" s="77">
        <v>3.5</v>
      </c>
      <c r="C64" s="77">
        <v>3.5</v>
      </c>
      <c r="D64" s="77">
        <f t="shared" ref="D64:D84" si="17">C64+(0.188*2)</f>
        <v>3.8759999999999999</v>
      </c>
      <c r="E64" s="24"/>
      <c r="F64" s="77">
        <f t="shared" ref="F64:F84" si="18">ROUND(C64,2)+4</f>
        <v>7.5</v>
      </c>
      <c r="G64" s="77" t="str">
        <f t="shared" si="12"/>
        <v>-----</v>
      </c>
      <c r="H64" s="80">
        <f t="shared" si="13"/>
        <v>7.5</v>
      </c>
      <c r="I64" s="24"/>
      <c r="J64" s="77">
        <f>ROUND(D64,2)+2</f>
        <v>5.88</v>
      </c>
      <c r="K64" s="77" t="str">
        <f t="shared" si="14"/>
        <v>-----</v>
      </c>
      <c r="L64" s="80">
        <f t="shared" si="16"/>
        <v>5.88</v>
      </c>
    </row>
    <row r="65" spans="1:12" x14ac:dyDescent="0.2">
      <c r="A65" s="327"/>
      <c r="B65" s="104"/>
      <c r="C65" s="104"/>
      <c r="D65" s="104"/>
      <c r="E65" s="105"/>
      <c r="F65" s="104"/>
      <c r="G65" s="104"/>
      <c r="H65" s="106"/>
      <c r="I65" s="105"/>
      <c r="J65" s="107">
        <f>ROUND(C64,2)+3</f>
        <v>6.5</v>
      </c>
      <c r="K65" s="107" t="str">
        <f>"-----"</f>
        <v>-----</v>
      </c>
      <c r="L65" s="108">
        <f>J65</f>
        <v>6.5</v>
      </c>
    </row>
    <row r="66" spans="1:12" x14ac:dyDescent="0.2">
      <c r="A66" s="327"/>
      <c r="B66" s="77">
        <v>4</v>
      </c>
      <c r="C66" s="77">
        <v>4</v>
      </c>
      <c r="D66" s="77">
        <f t="shared" si="17"/>
        <v>4.3760000000000003</v>
      </c>
      <c r="E66" s="24"/>
      <c r="F66" s="77">
        <f t="shared" si="18"/>
        <v>8</v>
      </c>
      <c r="G66" s="77" t="str">
        <f t="shared" si="12"/>
        <v>-----</v>
      </c>
      <c r="H66" s="80">
        <f t="shared" si="13"/>
        <v>8</v>
      </c>
      <c r="I66" s="24"/>
      <c r="J66" s="77">
        <f>ROUND(D66,2)+2</f>
        <v>6.38</v>
      </c>
      <c r="K66" s="77" t="str">
        <f t="shared" si="14"/>
        <v>-----</v>
      </c>
      <c r="L66" s="80">
        <f t="shared" si="16"/>
        <v>6.38</v>
      </c>
    </row>
    <row r="67" spans="1:12" x14ac:dyDescent="0.2">
      <c r="A67" s="327"/>
      <c r="B67" s="104"/>
      <c r="C67" s="104"/>
      <c r="D67" s="104"/>
      <c r="E67" s="105"/>
      <c r="F67" s="104"/>
      <c r="G67" s="104"/>
      <c r="H67" s="106"/>
      <c r="I67" s="105"/>
      <c r="J67" s="107">
        <f>ROUND(C66,2)+3</f>
        <v>7</v>
      </c>
      <c r="K67" s="107" t="str">
        <f>"-----"</f>
        <v>-----</v>
      </c>
      <c r="L67" s="108">
        <f>J67</f>
        <v>7</v>
      </c>
    </row>
    <row r="68" spans="1:12" x14ac:dyDescent="0.2">
      <c r="A68" s="327"/>
      <c r="B68" s="77">
        <v>4.5</v>
      </c>
      <c r="C68" s="77">
        <v>4.5</v>
      </c>
      <c r="D68" s="77">
        <f t="shared" si="17"/>
        <v>4.8760000000000003</v>
      </c>
      <c r="E68" s="24"/>
      <c r="F68" s="77">
        <f t="shared" si="18"/>
        <v>8.5</v>
      </c>
      <c r="G68" s="77" t="str">
        <f t="shared" si="12"/>
        <v>-----</v>
      </c>
      <c r="H68" s="80">
        <f t="shared" si="13"/>
        <v>8.5</v>
      </c>
      <c r="I68" s="24"/>
      <c r="J68" s="77">
        <f>ROUND(D68,2)+2</f>
        <v>6.88</v>
      </c>
      <c r="K68" s="77" t="str">
        <f t="shared" si="14"/>
        <v>-----</v>
      </c>
      <c r="L68" s="80">
        <f t="shared" si="16"/>
        <v>6.88</v>
      </c>
    </row>
    <row r="69" spans="1:12" x14ac:dyDescent="0.2">
      <c r="A69" s="327"/>
      <c r="B69" s="104"/>
      <c r="C69" s="104"/>
      <c r="D69" s="104"/>
      <c r="E69" s="105"/>
      <c r="F69" s="104"/>
      <c r="G69" s="104"/>
      <c r="H69" s="106"/>
      <c r="I69" s="105"/>
      <c r="J69" s="107">
        <f>ROUND(C68,2)+3</f>
        <v>7.5</v>
      </c>
      <c r="K69" s="107" t="str">
        <f>"-----"</f>
        <v>-----</v>
      </c>
      <c r="L69" s="108">
        <f>J69</f>
        <v>7.5</v>
      </c>
    </row>
    <row r="70" spans="1:12" x14ac:dyDescent="0.2">
      <c r="A70" s="327"/>
      <c r="B70" s="77">
        <v>5</v>
      </c>
      <c r="C70" s="77">
        <v>5</v>
      </c>
      <c r="D70" s="77">
        <f t="shared" si="17"/>
        <v>5.3760000000000003</v>
      </c>
      <c r="E70" s="24"/>
      <c r="F70" s="77">
        <f t="shared" si="18"/>
        <v>9</v>
      </c>
      <c r="G70" s="77" t="str">
        <f t="shared" si="12"/>
        <v>-----</v>
      </c>
      <c r="H70" s="80">
        <f t="shared" si="13"/>
        <v>9</v>
      </c>
      <c r="I70" s="24"/>
      <c r="J70" s="77">
        <f>ROUND(D70,2)+2</f>
        <v>7.38</v>
      </c>
      <c r="K70" s="77" t="str">
        <f t="shared" si="14"/>
        <v>-----</v>
      </c>
      <c r="L70" s="80">
        <f t="shared" si="16"/>
        <v>7.38</v>
      </c>
    </row>
    <row r="71" spans="1:12" x14ac:dyDescent="0.2">
      <c r="A71" s="327"/>
      <c r="B71" s="104"/>
      <c r="C71" s="104"/>
      <c r="D71" s="104"/>
      <c r="E71" s="105"/>
      <c r="F71" s="104"/>
      <c r="G71" s="104"/>
      <c r="H71" s="106"/>
      <c r="I71" s="105"/>
      <c r="J71" s="107">
        <f>ROUND(C70,2)+3</f>
        <v>8</v>
      </c>
      <c r="K71" s="107" t="str">
        <f>"-----"</f>
        <v>-----</v>
      </c>
      <c r="L71" s="108">
        <f>J71</f>
        <v>8</v>
      </c>
    </row>
    <row r="72" spans="1:12" x14ac:dyDescent="0.2">
      <c r="A72" s="327"/>
      <c r="B72" s="77">
        <v>5.5</v>
      </c>
      <c r="C72" s="77">
        <v>5.5</v>
      </c>
      <c r="D72" s="77">
        <f t="shared" si="17"/>
        <v>5.8760000000000003</v>
      </c>
      <c r="E72" s="24"/>
      <c r="F72" s="77">
        <f t="shared" si="18"/>
        <v>9.5</v>
      </c>
      <c r="G72" s="77" t="str">
        <f t="shared" si="12"/>
        <v>-----</v>
      </c>
      <c r="H72" s="80">
        <f t="shared" si="13"/>
        <v>9.5</v>
      </c>
      <c r="I72" s="24"/>
      <c r="J72" s="77">
        <f>ROUND(D72,2)+2</f>
        <v>7.88</v>
      </c>
      <c r="K72" s="77" t="str">
        <f t="shared" si="14"/>
        <v>-----</v>
      </c>
      <c r="L72" s="80">
        <f t="shared" si="16"/>
        <v>7.88</v>
      </c>
    </row>
    <row r="73" spans="1:12" x14ac:dyDescent="0.2">
      <c r="A73" s="327"/>
      <c r="B73" s="104"/>
      <c r="C73" s="104"/>
      <c r="D73" s="104"/>
      <c r="E73" s="105"/>
      <c r="F73" s="104"/>
      <c r="G73" s="104"/>
      <c r="H73" s="106"/>
      <c r="I73" s="105"/>
      <c r="J73" s="107">
        <f>ROUND(C72,2)+3</f>
        <v>8.5</v>
      </c>
      <c r="K73" s="107" t="str">
        <f>"-----"</f>
        <v>-----</v>
      </c>
      <c r="L73" s="108">
        <f>J73</f>
        <v>8.5</v>
      </c>
    </row>
    <row r="74" spans="1:12" x14ac:dyDescent="0.2">
      <c r="A74" s="327"/>
      <c r="B74" s="77">
        <v>5.5629999999999997</v>
      </c>
      <c r="C74" s="77">
        <v>5.5629999999999997</v>
      </c>
      <c r="D74" s="77">
        <f t="shared" si="17"/>
        <v>5.9390000000000001</v>
      </c>
      <c r="E74" s="24"/>
      <c r="F74" s="77">
        <f t="shared" si="18"/>
        <v>9.5599999999999987</v>
      </c>
      <c r="G74" s="77" t="str">
        <f t="shared" si="12"/>
        <v>-----</v>
      </c>
      <c r="H74" s="80">
        <f t="shared" si="13"/>
        <v>9.5599999999999987</v>
      </c>
      <c r="I74" s="24"/>
      <c r="J74" s="77">
        <f>ROUND(D74,2)+2</f>
        <v>7.94</v>
      </c>
      <c r="K74" s="77" t="str">
        <f t="shared" si="14"/>
        <v>-----</v>
      </c>
      <c r="L74" s="80">
        <f t="shared" si="16"/>
        <v>7.94</v>
      </c>
    </row>
    <row r="75" spans="1:12" x14ac:dyDescent="0.2">
      <c r="A75" s="327"/>
      <c r="B75" s="104"/>
      <c r="C75" s="104"/>
      <c r="D75" s="104"/>
      <c r="E75" s="105"/>
      <c r="F75" s="104"/>
      <c r="G75" s="104"/>
      <c r="H75" s="106"/>
      <c r="I75" s="105"/>
      <c r="J75" s="107">
        <f>ROUND(C74,2)+3</f>
        <v>8.5599999999999987</v>
      </c>
      <c r="K75" s="107" t="str">
        <f>"-----"</f>
        <v>-----</v>
      </c>
      <c r="L75" s="108">
        <f>J75</f>
        <v>8.5599999999999987</v>
      </c>
    </row>
    <row r="76" spans="1:12" x14ac:dyDescent="0.2">
      <c r="A76" s="327"/>
      <c r="B76" s="77">
        <v>6</v>
      </c>
      <c r="C76" s="77">
        <v>6</v>
      </c>
      <c r="D76" s="77">
        <f t="shared" si="17"/>
        <v>6.3760000000000003</v>
      </c>
      <c r="E76" s="24"/>
      <c r="F76" s="77">
        <f t="shared" si="18"/>
        <v>10</v>
      </c>
      <c r="G76" s="77" t="str">
        <f t="shared" si="12"/>
        <v>-----</v>
      </c>
      <c r="H76" s="80">
        <f t="shared" si="13"/>
        <v>10</v>
      </c>
      <c r="I76" s="24"/>
      <c r="J76" s="77">
        <f>ROUND(D76,2)+2</f>
        <v>8.379999999999999</v>
      </c>
      <c r="K76" s="77" t="str">
        <f t="shared" si="14"/>
        <v>-----</v>
      </c>
      <c r="L76" s="80">
        <f t="shared" si="16"/>
        <v>8.379999999999999</v>
      </c>
    </row>
    <row r="77" spans="1:12" x14ac:dyDescent="0.2">
      <c r="A77" s="327"/>
      <c r="B77" s="104"/>
      <c r="C77" s="104"/>
      <c r="D77" s="104"/>
      <c r="E77" s="105"/>
      <c r="F77" s="104"/>
      <c r="G77" s="104"/>
      <c r="H77" s="106"/>
      <c r="I77" s="105"/>
      <c r="J77" s="107">
        <f>ROUND(C76,2)+3</f>
        <v>9</v>
      </c>
      <c r="K77" s="107" t="str">
        <f>"-----"</f>
        <v>-----</v>
      </c>
      <c r="L77" s="108">
        <f>J77</f>
        <v>9</v>
      </c>
    </row>
    <row r="78" spans="1:12" x14ac:dyDescent="0.2">
      <c r="A78" s="327"/>
      <c r="B78" s="77">
        <v>6.625</v>
      </c>
      <c r="C78" s="77">
        <v>6.625</v>
      </c>
      <c r="D78" s="77">
        <f t="shared" si="17"/>
        <v>7.0010000000000003</v>
      </c>
      <c r="E78" s="24"/>
      <c r="F78" s="77">
        <f t="shared" si="18"/>
        <v>10.629999999999999</v>
      </c>
      <c r="G78" s="77" t="str">
        <f t="shared" si="12"/>
        <v>-----</v>
      </c>
      <c r="H78" s="80">
        <f t="shared" si="13"/>
        <v>10.629999999999999</v>
      </c>
      <c r="I78" s="24"/>
      <c r="J78" s="77">
        <f>ROUND(D78,2)+2</f>
        <v>9</v>
      </c>
      <c r="K78" s="77" t="str">
        <f t="shared" si="14"/>
        <v>-----</v>
      </c>
      <c r="L78" s="80">
        <f t="shared" si="16"/>
        <v>9</v>
      </c>
    </row>
    <row r="79" spans="1:12" x14ac:dyDescent="0.2">
      <c r="A79" s="327"/>
      <c r="B79" s="104"/>
      <c r="C79" s="104"/>
      <c r="D79" s="104"/>
      <c r="E79" s="105"/>
      <c r="F79" s="104"/>
      <c r="G79" s="104"/>
      <c r="H79" s="106"/>
      <c r="I79" s="105"/>
      <c r="J79" s="107">
        <f>ROUND(C78,2)+3</f>
        <v>9.629999999999999</v>
      </c>
      <c r="K79" s="107" t="str">
        <f>"-----"</f>
        <v>-----</v>
      </c>
      <c r="L79" s="108">
        <f>J79</f>
        <v>9.629999999999999</v>
      </c>
    </row>
    <row r="80" spans="1:12" x14ac:dyDescent="0.2">
      <c r="A80" s="327"/>
      <c r="B80" s="77">
        <v>7</v>
      </c>
      <c r="C80" s="77">
        <v>7</v>
      </c>
      <c r="D80" s="77">
        <f t="shared" si="17"/>
        <v>7.3760000000000003</v>
      </c>
      <c r="E80" s="24"/>
      <c r="F80" s="77">
        <f t="shared" si="18"/>
        <v>11</v>
      </c>
      <c r="G80" s="77" t="str">
        <f t="shared" si="12"/>
        <v>-----</v>
      </c>
      <c r="H80" s="80">
        <f t="shared" si="13"/>
        <v>11</v>
      </c>
      <c r="I80" s="24"/>
      <c r="J80" s="77">
        <f>ROUND(D80,2)+2</f>
        <v>9.379999999999999</v>
      </c>
      <c r="K80" s="77" t="str">
        <f t="shared" si="14"/>
        <v>-----</v>
      </c>
      <c r="L80" s="80">
        <f t="shared" si="16"/>
        <v>9.379999999999999</v>
      </c>
    </row>
    <row r="81" spans="1:12" x14ac:dyDescent="0.2">
      <c r="A81" s="327"/>
      <c r="B81" s="104"/>
      <c r="C81" s="104"/>
      <c r="D81" s="104"/>
      <c r="E81" s="105"/>
      <c r="F81" s="104"/>
      <c r="G81" s="104"/>
      <c r="H81" s="106"/>
      <c r="I81" s="105"/>
      <c r="J81" s="107">
        <f>ROUND(C80,2)+3</f>
        <v>10</v>
      </c>
      <c r="K81" s="107" t="str">
        <f>"-----"</f>
        <v>-----</v>
      </c>
      <c r="L81" s="108">
        <f>J81</f>
        <v>10</v>
      </c>
    </row>
    <row r="82" spans="1:12" x14ac:dyDescent="0.2">
      <c r="A82" s="327"/>
      <c r="B82" s="77">
        <v>8.625</v>
      </c>
      <c r="C82" s="77">
        <v>8.625</v>
      </c>
      <c r="D82" s="77">
        <f t="shared" si="17"/>
        <v>9.0009999999999994</v>
      </c>
      <c r="E82" s="24"/>
      <c r="F82" s="77">
        <f t="shared" si="18"/>
        <v>12.63</v>
      </c>
      <c r="G82" s="77" t="str">
        <f t="shared" si="12"/>
        <v>-----</v>
      </c>
      <c r="H82" s="80">
        <f t="shared" si="13"/>
        <v>12.63</v>
      </c>
      <c r="I82" s="24"/>
      <c r="J82" s="77">
        <f>ROUND(D82,2)+2</f>
        <v>11</v>
      </c>
      <c r="K82" s="77" t="str">
        <f t="shared" si="14"/>
        <v>-----</v>
      </c>
      <c r="L82" s="80">
        <f t="shared" si="16"/>
        <v>11</v>
      </c>
    </row>
    <row r="83" spans="1:12" x14ac:dyDescent="0.2">
      <c r="A83" s="327"/>
      <c r="B83" s="104"/>
      <c r="C83" s="104"/>
      <c r="D83" s="104"/>
      <c r="E83" s="105"/>
      <c r="F83" s="104"/>
      <c r="G83" s="104"/>
      <c r="H83" s="106"/>
      <c r="I83" s="105"/>
      <c r="J83" s="107">
        <f>ROUND(C82,2)+3</f>
        <v>11.63</v>
      </c>
      <c r="K83" s="107" t="str">
        <f>"-----"</f>
        <v>-----</v>
      </c>
      <c r="L83" s="108">
        <f>J83</f>
        <v>11.63</v>
      </c>
    </row>
    <row r="84" spans="1:12" x14ac:dyDescent="0.2">
      <c r="A84" s="327"/>
      <c r="B84" s="77">
        <v>9.625</v>
      </c>
      <c r="C84" s="77">
        <v>9.625</v>
      </c>
      <c r="D84" s="77">
        <f t="shared" si="17"/>
        <v>10.000999999999999</v>
      </c>
      <c r="E84" s="24"/>
      <c r="F84" s="77">
        <f t="shared" si="18"/>
        <v>13.63</v>
      </c>
      <c r="G84" s="77" t="str">
        <f t="shared" si="12"/>
        <v>-----</v>
      </c>
      <c r="H84" s="80">
        <f t="shared" si="13"/>
        <v>13.63</v>
      </c>
      <c r="I84" s="24"/>
      <c r="J84" s="77">
        <f>ROUND(D84,2)+2</f>
        <v>12</v>
      </c>
      <c r="K84" s="77" t="str">
        <f t="shared" si="14"/>
        <v>-----</v>
      </c>
      <c r="L84" s="80">
        <f t="shared" si="16"/>
        <v>12</v>
      </c>
    </row>
    <row r="85" spans="1:12" ht="13.5" thickBot="1" x14ac:dyDescent="0.25">
      <c r="A85" s="101"/>
      <c r="B85" s="86"/>
      <c r="C85" s="86"/>
      <c r="D85" s="86"/>
      <c r="E85" s="87"/>
      <c r="F85" s="86"/>
      <c r="G85" s="86"/>
      <c r="H85" s="88"/>
      <c r="I85" s="87"/>
      <c r="J85" s="107">
        <f>ROUND(C84,2)+3</f>
        <v>12.63</v>
      </c>
      <c r="K85" s="109" t="str">
        <f>"-----"</f>
        <v>-----</v>
      </c>
      <c r="L85" s="110">
        <f>J85</f>
        <v>12.63</v>
      </c>
    </row>
    <row r="86" spans="1:12" ht="13.5" customHeight="1" thickTop="1" x14ac:dyDescent="0.2">
      <c r="A86" s="326" t="s">
        <v>68</v>
      </c>
      <c r="B86" s="81">
        <v>30</v>
      </c>
      <c r="C86" s="81">
        <f>30+(0.188*2)</f>
        <v>30.376000000000001</v>
      </c>
      <c r="D86" s="81"/>
      <c r="E86" s="84"/>
      <c r="F86" s="81">
        <f>ROUND(C86,2)+4</f>
        <v>34.379999999999995</v>
      </c>
      <c r="G86" s="81" t="str">
        <f t="shared" si="12"/>
        <v>-----</v>
      </c>
      <c r="H86" s="85">
        <v>34.380000000000003</v>
      </c>
      <c r="I86" s="84"/>
      <c r="J86" s="81">
        <f>ROUND(C86,2)+2</f>
        <v>32.379999999999995</v>
      </c>
      <c r="K86" s="81" t="str">
        <f t="shared" si="14"/>
        <v>-----</v>
      </c>
      <c r="L86" s="85">
        <v>32.380000000000003</v>
      </c>
    </row>
    <row r="87" spans="1:12" x14ac:dyDescent="0.2">
      <c r="A87" s="327"/>
      <c r="B87" s="24"/>
      <c r="C87" s="77"/>
      <c r="D87" s="77"/>
      <c r="E87" s="24"/>
      <c r="F87" s="24"/>
      <c r="G87" s="24"/>
      <c r="H87" s="77"/>
      <c r="I87" s="24"/>
      <c r="J87" s="114"/>
      <c r="K87" s="114"/>
      <c r="L87" s="103"/>
    </row>
    <row r="88" spans="1:12" x14ac:dyDescent="0.2">
      <c r="A88" s="327"/>
      <c r="B88" s="24"/>
      <c r="C88" s="77"/>
      <c r="D88" s="77"/>
      <c r="E88" s="24"/>
      <c r="F88" s="24"/>
      <c r="G88" s="24"/>
      <c r="H88" s="77"/>
      <c r="I88" s="24"/>
      <c r="J88" s="24"/>
      <c r="K88" s="24"/>
      <c r="L88" s="24"/>
    </row>
    <row r="89" spans="1:12" x14ac:dyDescent="0.2">
      <c r="A89" s="327"/>
      <c r="B89" s="24"/>
      <c r="C89" s="77"/>
      <c r="D89" s="77"/>
      <c r="E89" s="24"/>
      <c r="F89" s="24"/>
      <c r="G89" s="24"/>
      <c r="H89" s="77"/>
      <c r="I89" s="24"/>
      <c r="J89" s="24"/>
      <c r="K89" s="24"/>
      <c r="L89" s="24"/>
    </row>
    <row r="90" spans="1:12" x14ac:dyDescent="0.2">
      <c r="A90" s="327"/>
      <c r="B90" s="24"/>
      <c r="C90" s="77"/>
      <c r="D90" s="77"/>
      <c r="E90" s="24"/>
      <c r="F90" s="24"/>
      <c r="G90" s="24"/>
      <c r="H90" s="77"/>
      <c r="I90" s="24"/>
      <c r="J90" s="24"/>
      <c r="K90" s="24"/>
      <c r="L90" s="24"/>
    </row>
    <row r="91" spans="1:12" ht="13.5" thickBot="1" x14ac:dyDescent="0.25">
      <c r="A91" s="328"/>
      <c r="B91" s="87"/>
      <c r="C91" s="86"/>
      <c r="D91" s="86"/>
      <c r="E91" s="87"/>
      <c r="F91" s="87"/>
      <c r="G91" s="87"/>
      <c r="H91" s="86"/>
      <c r="I91" s="87"/>
      <c r="J91" s="87"/>
      <c r="K91" s="87"/>
      <c r="L91" s="87"/>
    </row>
    <row r="92" spans="1:12" ht="13.5" thickTop="1" x14ac:dyDescent="0.2"/>
  </sheetData>
  <sheetProtection algorithmName="SHA-512" hashValue="o/08TmSm6OWKWwkpV59nyvIKEecAIUB6ancTLlGWt6VbiJHkUDV1O7JK4TV0/lRnYcXO4vFmOyjhBKSeCS151A==" saltValue="w0QP+Lt0lNkLRl1L9dTmIQ==" spinCount="100000" sheet="1" selectLockedCells="1" selectUnlockedCells="1"/>
  <mergeCells count="12">
    <mergeCell ref="B1:L1"/>
    <mergeCell ref="F4:L4"/>
    <mergeCell ref="F5:H5"/>
    <mergeCell ref="J5:L5"/>
    <mergeCell ref="D4:D5"/>
    <mergeCell ref="C4:C5"/>
    <mergeCell ref="B4:B5"/>
    <mergeCell ref="A6:A27"/>
    <mergeCell ref="A28:A41"/>
    <mergeCell ref="A42:A59"/>
    <mergeCell ref="A86:A91"/>
    <mergeCell ref="A60:A84"/>
  </mergeCells>
  <phoneticPr fontId="12" type="noConversion"/>
  <printOptions horizontalCentered="1"/>
  <pageMargins left="0.25" right="0.25" top="0.5" bottom="0.5" header="0.2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Grout Calculation</vt:lpstr>
      <vt:lpstr>ANNULAR SPACE</vt:lpstr>
      <vt:lpstr>'ANNULAR SPACE'!Print_Titles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Schmidt</dc:creator>
  <cp:lastModifiedBy>Schmidt, Steven</cp:lastModifiedBy>
  <cp:lastPrinted>2019-03-28T11:29:48Z</cp:lastPrinted>
  <dcterms:created xsi:type="dcterms:W3CDTF">2009-11-03T19:17:01Z</dcterms:created>
  <dcterms:modified xsi:type="dcterms:W3CDTF">2020-10-15T19:23:03Z</dcterms:modified>
</cp:coreProperties>
</file>